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ZADANIA 2017" sheetId="1" r:id="rId1"/>
    <sheet name="Arkusz2" sheetId="2" state="hidden" r:id="rId2"/>
    <sheet name="NOWA HUTA DZIŚ" sheetId="3" r:id="rId3"/>
    <sheet name="ZADANIA I PROGRAMY MIEJSKIE" sheetId="4" r:id="rId4"/>
  </sheets>
  <definedNames>
    <definedName name="_xlnm.Print_Area" localSheetId="0">'ZADANIA 2017'!$A$29:$F$222</definedName>
    <definedName name="Z_C5070D80_E31C_464D_9C4C_FE3BA5FEE57A_.wvu.PrintArea" localSheetId="0" hidden="1">'ZADANIA 2017'!$A$29:$F$222</definedName>
    <definedName name="Z_C75D75CF_7CFD_4FEB_95CC_23C56B21192D_.wvu.PrintArea" localSheetId="0" hidden="1">'ZADANIA 2017'!$A$1:$E$220</definedName>
  </definedNames>
  <calcPr fullCalcOnLoad="1"/>
</workbook>
</file>

<file path=xl/comments1.xml><?xml version="1.0" encoding="utf-8"?>
<comments xmlns="http://schemas.openxmlformats.org/spreadsheetml/2006/main">
  <authors>
    <author>Marek</author>
  </authors>
  <commentList>
    <comment ref="A62" authorId="0">
      <text>
        <r>
          <rPr>
            <sz val="11"/>
            <color indexed="8"/>
            <rFont val="Czcionka tekstu podstawowego"/>
            <family val="2"/>
          </rPr>
          <t>Marek:</t>
        </r>
        <r>
          <rPr>
            <sz val="11"/>
            <color theme="1"/>
            <rFont val="Czcionka tekstu podstawowego"/>
            <family val="2"/>
          </rPr>
          <t xml:space="preserve">
- lista rankingowa zieleńce
</t>
        </r>
      </text>
    </comment>
  </commentList>
</comments>
</file>

<file path=xl/sharedStrings.xml><?xml version="1.0" encoding="utf-8"?>
<sst xmlns="http://schemas.openxmlformats.org/spreadsheetml/2006/main" count="772" uniqueCount="529">
  <si>
    <t>kwota ogółem na Dzielnice</t>
  </si>
  <si>
    <t>pozostałe 21 %</t>
  </si>
  <si>
    <t>B) BUDOWA, MODERNIZACJA, PRACE REMONTOWE: OGRÓDKÓW JORDANOWSKICH, ZIELEŃCÓW, SKWERÓW</t>
  </si>
  <si>
    <t>C) BUDOWA, MODERNIZACJA, PRACE REMONTOWE: MIEJSKIEJ INFRASTRUKTURY DROGOWEJ</t>
  </si>
  <si>
    <t>E) LOKALNE WYDARZENIA: OŚWIATOWE, KULTURALNE, SPORTOWE I REKREACYJNE</t>
  </si>
  <si>
    <t>F) PROGRAM POPRAWY BEZPIECZEŃSTWA DLA GMINY MIEJSKIEJ KRAKÓW - "BEZPIECZNY KRAKÓW"</t>
  </si>
  <si>
    <t>G) DZIELNICOWY PROGRAM WSPIERANIA OSÓB NIEPEŁNOSPRAWNYCH</t>
  </si>
  <si>
    <t>H) DZIELNICOWY PROGRAM OCHRONY ZDROWIA I PROFILAKTYKI ZDROWOTNEJ</t>
  </si>
  <si>
    <t>D) BUDOWA, MODERNIZACJA, PRACE REMONTOWE: OSIEDLOWEJ INFRASTRUKTURY SPORTOWEJ I REKREACYJNEJ</t>
  </si>
  <si>
    <t>J) WSPÓŁPRACA Z ORGANIZACJAMI POZARZĄDOWYMI DZIAŁAJACYMI NA OBSZARZE DZIELNICY</t>
  </si>
  <si>
    <t>K) KOMUNIKACJA Z MIESZKAŃCAMI DZIELNICY</t>
  </si>
  <si>
    <t>NAZWA DZIEDZINY/ LISTA ZADAŃ</t>
  </si>
  <si>
    <t>JEDNOSTKA REALIZUJĄCA</t>
  </si>
  <si>
    <t>Ł) POZOSTAŁE WYNIKAJACE Z ZAPISÓW STATUTÓW</t>
  </si>
  <si>
    <t>SPEŁNIENIE ZAPISÓW § 66 STATUTÓW</t>
  </si>
  <si>
    <t>suma</t>
  </si>
  <si>
    <t>NUMER DZIELNICY:</t>
  </si>
  <si>
    <t>KONTROLA LIMITÓW :</t>
  </si>
  <si>
    <r>
      <t xml:space="preserve">limit min 70 % </t>
    </r>
    <r>
      <rPr>
        <b/>
        <sz val="11"/>
        <color indexed="8"/>
        <rFont val="Calibri"/>
        <family val="2"/>
      </rPr>
      <t>(A+B+C+D)</t>
    </r>
  </si>
  <si>
    <r>
      <t xml:space="preserve">limit min 5 % </t>
    </r>
    <r>
      <rPr>
        <b/>
        <sz val="11"/>
        <color indexed="8"/>
        <rFont val="Calibri"/>
        <family val="2"/>
      </rPr>
      <t>(G)</t>
    </r>
  </si>
  <si>
    <r>
      <t xml:space="preserve">limit max 2% Komunikacja z mieszkańcami </t>
    </r>
    <r>
      <rPr>
        <b/>
        <sz val="11"/>
        <color indexed="8"/>
        <rFont val="Calibri"/>
        <family val="2"/>
      </rPr>
      <t>(K)</t>
    </r>
  </si>
  <si>
    <r>
      <t xml:space="preserve">limit max 2% Obsługa adminiastarcyjno-biurowa </t>
    </r>
    <r>
      <rPr>
        <b/>
        <sz val="11"/>
        <color indexed="8"/>
        <rFont val="Calibri"/>
        <family val="2"/>
      </rPr>
      <t>(L)</t>
    </r>
  </si>
  <si>
    <r>
      <t xml:space="preserve">dziedzina: A+B+C+D </t>
    </r>
    <r>
      <rPr>
        <b/>
        <sz val="11"/>
        <color indexed="8"/>
        <rFont val="Calibri"/>
        <family val="2"/>
      </rPr>
      <t>(drogi, obiekty i tereny)</t>
    </r>
  </si>
  <si>
    <r>
      <t xml:space="preserve">dziedzina: G </t>
    </r>
    <r>
      <rPr>
        <b/>
        <sz val="11"/>
        <color indexed="8"/>
        <rFont val="Calibri"/>
        <family val="2"/>
      </rPr>
      <t>(niepełnosprawni)</t>
    </r>
  </si>
  <si>
    <r>
      <t xml:space="preserve">dziedzina: K </t>
    </r>
    <r>
      <rPr>
        <b/>
        <sz val="11"/>
        <color indexed="8"/>
        <rFont val="Calibri"/>
        <family val="2"/>
      </rPr>
      <t>(komunikacja z mieszkańcami)</t>
    </r>
  </si>
  <si>
    <t>KWOTA WYNIKAJĄCA                   Z  UCHWAŁ</t>
  </si>
  <si>
    <t>A) PRACE REMONTOWE SZKÓŁ PODSTAWOWYCH, GIMNAZJÓW, PRZEDSZKOLI        ORAZ ŻŁOBKÓW</t>
  </si>
  <si>
    <r>
      <rPr>
        <sz val="20"/>
        <color indexed="8"/>
        <rFont val="Calibri"/>
        <family val="2"/>
      </rPr>
      <t xml:space="preserve">RAZEM                                                                     </t>
    </r>
    <r>
      <rPr>
        <b/>
        <sz val="11"/>
        <color indexed="8"/>
        <rFont val="Calibri"/>
        <family val="2"/>
      </rPr>
      <t>(suma dziedzin: A+B+C+D+E+F+G+H+I+J+K+L+Ł)</t>
    </r>
  </si>
  <si>
    <r>
      <t xml:space="preserve">dziedzina: L </t>
    </r>
    <r>
      <rPr>
        <b/>
        <sz val="11"/>
        <color indexed="8"/>
        <rFont val="Calibri"/>
        <family val="2"/>
      </rPr>
      <t>(obsługa administracyjno-biurowa)</t>
    </r>
  </si>
  <si>
    <t>L) OBSŁUGA ADMINISTRACYJNO BIUROWA RADY I ZARZĄDU DZIELNICY</t>
  </si>
  <si>
    <t>PRZYZNANA KWOTA /zł/</t>
  </si>
  <si>
    <t>LIMITY RZECZYWISTE:</t>
  </si>
  <si>
    <t>%</t>
  </si>
  <si>
    <t>Przekroczenie:</t>
  </si>
  <si>
    <t>Bieżące utrzymanie i modernizacja infrastruktury sportowej przy ZSO nr 14</t>
  </si>
  <si>
    <t>ZIS</t>
  </si>
  <si>
    <t>Modernizacja infrastruktury sportowej przy SP 156</t>
  </si>
  <si>
    <t>ZEO</t>
  </si>
  <si>
    <t>SP 156 Wykonanie ekspertyzy technicznej więźby dachowej wraz z ekspertyzą mykologiczną</t>
  </si>
  <si>
    <t>Żłobek nr 12 - Wymiana drzwi wewnętrznych w grupach</t>
  </si>
  <si>
    <t>ŻŁOBEK nr 12</t>
  </si>
  <si>
    <t>Żlobek nr 12 - Wymiana windy towarowej</t>
  </si>
  <si>
    <t>Żłobek nr 12 - Wymiana części ogrodzenia</t>
  </si>
  <si>
    <t>Żłobek nr 12 - Wymiana urządzeń ogrodowych</t>
  </si>
  <si>
    <t>Zakup urządzeń do ogrodu przedszkolnego w filii przedszkola 110 ul. Ciepłownicza 34</t>
  </si>
  <si>
    <t>Wyposażenie Sali Sensorycznej w Żłobku nr 12 (Żłobek nr 12)</t>
  </si>
  <si>
    <t>ZZM</t>
  </si>
  <si>
    <t xml:space="preserve">Wymiana nawierzchni poliuretanowej w ogródkach jordanowskich przy ul. Wężyka, przy bloku nr 47 na os. 2 Pułku Lotniczego </t>
  </si>
  <si>
    <t xml:space="preserve">Budowa siłowni na wolnym powietrzu przy bloku nr 41 na os. 2 Pułku Lotniczego na działce pomiędzy: ul. Medweckiego, ul. Stella – Sawickiego, al. Jana Pawła II </t>
  </si>
  <si>
    <t>Projekt i doposażenie ogródka jordanowskiego na działce 118/47 na os. Dywizjonu 303</t>
  </si>
  <si>
    <t>Rewitalizacja terenów zielonych i nasadzenia według wskazań dzielnicy</t>
  </si>
  <si>
    <t>ZIKIT</t>
  </si>
  <si>
    <t>ZIKiT</t>
  </si>
  <si>
    <t>Remont chodnika przy bloku nr 11 na ul. Wężyka</t>
  </si>
  <si>
    <t>Remont nawierzchni ul. Kwiatów Polskich</t>
  </si>
  <si>
    <t>Kontynuacja remontu ul. Kłosowskiego</t>
  </si>
  <si>
    <t>Budowa przejścia dla pieszych przez ulicę Ciepłowniczą na wysokości ulicy Szafrańskiej wraz z fragmentem chodnika</t>
  </si>
  <si>
    <t>Święto Czyżyn  - Dzielnica Czyżyny Dzieciom</t>
  </si>
  <si>
    <t>OK KNH</t>
  </si>
  <si>
    <t>Festyn w Żłobku Samorządowym nr 12</t>
  </si>
  <si>
    <t>ŻŁOBEK NR 12</t>
  </si>
  <si>
    <t>Nowohucki Przegląd Twórczości Dzieci Przedszkolnych</t>
  </si>
  <si>
    <t>ZEO/P182</t>
  </si>
  <si>
    <t xml:space="preserve">Organizacja bezpłatnych zajęć fitness dla mieszkańców Dzielnicy XIV </t>
  </si>
  <si>
    <t>Spotkania i wyjazdy integracyjne dla seniorów</t>
  </si>
  <si>
    <t>Czyżyńska Akademia Samorządności</t>
  </si>
  <si>
    <t>ZEO/ZSO NR 14</t>
  </si>
  <si>
    <t>Warsztaty ogrodnicze</t>
  </si>
  <si>
    <t xml:space="preserve">Turniej Piłki Plażowej </t>
  </si>
  <si>
    <t>MOS Wschód</t>
  </si>
  <si>
    <t>Dożynki w Łęgu</t>
  </si>
  <si>
    <t>ZSO 14 – organizacja zajęć sportowych – tenis stołowy – dla mieszkańców dzielnicy</t>
  </si>
  <si>
    <t>Ogólnopolski turniej minisiatkówki SP 155</t>
  </si>
  <si>
    <t>ZEO/SP 155</t>
  </si>
  <si>
    <t>Komisariat Policji nr VIII – zakup materiałów profilaktycznych</t>
  </si>
  <si>
    <t>OC UMK</t>
  </si>
  <si>
    <t>Komisariat Policji nr VIII – zakup latarek patrolowych</t>
  </si>
  <si>
    <t>Straż Miejska Oddział III – zakup materiałów profilaktycznych</t>
  </si>
  <si>
    <t>SMMK</t>
  </si>
  <si>
    <t>Dofinansowanie działań profilaktycznych SMMK Oddział III</t>
  </si>
  <si>
    <t>Straż Miejska Oddział III – dodatkowe patrole</t>
  </si>
  <si>
    <t>Zakup sprzętu dla JRG 7 PSP –  sprzęt ratowniczo-gaśniczy</t>
  </si>
  <si>
    <t>PSP</t>
  </si>
  <si>
    <t>Straż Miejska - III Oddział Nowa Huta - współfinansowanie zakupu samochodu służbowego</t>
  </si>
  <si>
    <t>Wsparcie dla osób niewidomych z terenu Nowej Huty</t>
  </si>
  <si>
    <t>Działalność na rzecz osób niepełnosprawnych -konkurs ofert</t>
  </si>
  <si>
    <t>SO UMK</t>
  </si>
  <si>
    <t>Projekt „Przyjaciele”</t>
  </si>
  <si>
    <t>MOPS filia nr 1</t>
  </si>
  <si>
    <t xml:space="preserve">Szczepienia przeciwko grypie dla mieszkańców dzielnicy powyżej 65. roku życia </t>
  </si>
  <si>
    <t>BZ UMK</t>
  </si>
  <si>
    <t>Profilaktyka wad postawy metodą mory projekcyjnej</t>
  </si>
  <si>
    <t>Zakupy dla Krakowskiego Pogotowia Ratunkowego</t>
  </si>
  <si>
    <t xml:space="preserve">Konkurs i warsztaty wiedzy o samorządzie krakowskim </t>
  </si>
  <si>
    <t>CM IM. H. JORDANA</t>
  </si>
  <si>
    <t>Dofinansowanie projektu edukacyjnego „Uczeń-Obywatel”</t>
  </si>
  <si>
    <t>Dofinansowanie do wypoczynku letniego dzieci i młodzieży z najuboższych rodzin z terenu Dzielnicy XIV w formie zasiłków celowych i celowych specjalnych</t>
  </si>
  <si>
    <t>MOPS</t>
  </si>
  <si>
    <t xml:space="preserve">Dofinansowanie Klubu Odkrywców działającego w Szkole Podstawowej nr 52 </t>
  </si>
  <si>
    <t>ZEO/SP 52</t>
  </si>
  <si>
    <t xml:space="preserve">Jubileusz 35-lecia Szkoły Podstawowej nr 52 </t>
  </si>
  <si>
    <t>Sfinansowanie usług psychologicznych i logopedycznych dla Żłobka Samorządowego nr 12 "Bajkowy Domek"</t>
  </si>
  <si>
    <t>ŻŁOBEK 12</t>
  </si>
  <si>
    <t>Dofinansowanie bieżącej działalności „Klubu 303”</t>
  </si>
  <si>
    <t>Dofinansowanie działalności Zespołu Pieśni i Tańca "Nowa Huta"</t>
  </si>
  <si>
    <t>NCK</t>
  </si>
  <si>
    <t xml:space="preserve">Eksploatacja sieci bezprzewodowego Internetu na terenie Dzielnicy </t>
  </si>
  <si>
    <t>IT UMK</t>
  </si>
  <si>
    <t>Dofinansowanie warsztatów dla najmłodszych mieszkańców Czyżyn (Np. Dogoń Żyrafę)</t>
  </si>
  <si>
    <t>Wyposażenie pomieszczeń piwnicznych w sprzęt do organizacji zajęć - Klub 303</t>
  </si>
  <si>
    <t>Realizacja programów profilaktycznych dla uczniów gimnazjum</t>
  </si>
  <si>
    <t>Gimnazjum nr 36 - zakupy</t>
  </si>
  <si>
    <t>ZEO/ ZSO 14</t>
  </si>
  <si>
    <t>Gimnazjum nr 36 – zakupy nagród</t>
  </si>
  <si>
    <t>SP 52 - zakupy</t>
  </si>
  <si>
    <t>ZEO/ SP 52</t>
  </si>
  <si>
    <t>SP 52 – zakupy nagród</t>
  </si>
  <si>
    <t>SP 155 - zakupy</t>
  </si>
  <si>
    <t>ZEO/ SP 155</t>
  </si>
  <si>
    <t>SP 155 – zakupy nagród</t>
  </si>
  <si>
    <t>SP 156 - zakupy</t>
  </si>
  <si>
    <t>ZEO/ SP 156</t>
  </si>
  <si>
    <t>SP 156 – zakupy nagród</t>
  </si>
  <si>
    <t>Przedszkole nr 110 – oddział I przy al. Jana Pawła II 80 - zakupy</t>
  </si>
  <si>
    <t>ZEO/P 110</t>
  </si>
  <si>
    <t>Przedszkole nr 110 – oddział II przy ul. Ciepłowniczej nr 34 - zakupy</t>
  </si>
  <si>
    <t>Przedszkole nr 182 - zakupy</t>
  </si>
  <si>
    <t>ZEO/P 182</t>
  </si>
  <si>
    <t>Przedszkole nr 182 - zakupy nagród</t>
  </si>
  <si>
    <t>Przedszkole nr 185 - zakupy</t>
  </si>
  <si>
    <t>ZEO/P 185</t>
  </si>
  <si>
    <t>Przedszkole nr 185 - zakupy nagród</t>
  </si>
  <si>
    <t>Żłobek nr 12 - zakupy</t>
  </si>
  <si>
    <t xml:space="preserve">ŻŁOBEK NR 12 </t>
  </si>
  <si>
    <t>Dofinansowanie działalności teatru w ZSO nr 14</t>
  </si>
  <si>
    <t>Warsztaty taneczno-teatralne „Ucz się i tańcz” – Gimnazjum 36</t>
  </si>
  <si>
    <t>Realizacja zajęć warsztatowych dla młodzieży w ZSO nr 14</t>
  </si>
  <si>
    <t>Dofinansowanie poradni logopedycznej w SP 155</t>
  </si>
  <si>
    <t>Dofinansowanie działalności Poradni Psychologiczno-Pedagogicznej na os. Szkolnym</t>
  </si>
  <si>
    <t xml:space="preserve">PPP NR 4 </t>
  </si>
  <si>
    <t xml:space="preserve">Wyjazdy śródroczne uczniów – Szkoła Podstawowa nr 52 </t>
  </si>
  <si>
    <t xml:space="preserve">Wyjazdy śródroczne uczniów – Szkoła Podstawowa nr 155 </t>
  </si>
  <si>
    <t xml:space="preserve">Wyjazdy śródroczne uczniów – Szkoła Podstawowa nr 156 </t>
  </si>
  <si>
    <t xml:space="preserve">Wyjazdy śródroczne uczniów – Gimnazjum nr 36 </t>
  </si>
  <si>
    <t>Doposażenie gabinetu logopedycznego w przedszkolu integracyjnym 182</t>
  </si>
  <si>
    <t>ZEO/ P 182</t>
  </si>
  <si>
    <t>Słoneczna integracja - im więcej zabawy tym więcej nauki</t>
  </si>
  <si>
    <t xml:space="preserve">Imprezy kulturalno-sportowe w Przedszkolu nr 110 oddział I przy Alei Jana Pawła 2 nr 80 </t>
  </si>
  <si>
    <t xml:space="preserve">Imprezy kulturalno-sportowe w Przedszkolu nr 110 oddział II przy ul. Ciepłowniczej 34 </t>
  </si>
  <si>
    <t>ZEO/ P 110</t>
  </si>
  <si>
    <t>Szkoła Podstawowa nr 52 - dofinansowanie zajęć rugby Tag</t>
  </si>
  <si>
    <t xml:space="preserve">Jubileusz 30-lecia  Przedszkola nr 182 </t>
  </si>
  <si>
    <t xml:space="preserve">Jubileusz 30-lecia oddziału Przedszkola nr 110 oddział II przy ul. Ciepłowniczej 34 </t>
  </si>
  <si>
    <t>Zakup strojów regionalnych dla Przedszkola nr 110</t>
  </si>
  <si>
    <t>Wspieranie działalności wspomagającej rozwój wspólnot i społeczności lokalnych - konkurs ofert</t>
  </si>
  <si>
    <t>SP UMK</t>
  </si>
  <si>
    <t>BR UMK</t>
  </si>
  <si>
    <t>Bieżąca konserwacja tablic informacyjnych dzielnicy</t>
  </si>
  <si>
    <t>Publikacja informacji Dzielnicy na łamach gazety lokalnej</t>
  </si>
  <si>
    <t>Materiały promocyjne</t>
  </si>
  <si>
    <t>Kolorowy ogród zabaw dla dzieci (P185) (kontynuacja zadania)</t>
  </si>
  <si>
    <t>Strefa malucha na placu zabaw na os. 2 Pułku Lotniczego (kontynuacja zadania)</t>
  </si>
  <si>
    <t>Zakup urządzeń biurowych i materiałów eksploatacyjnych</t>
  </si>
  <si>
    <t>XIV</t>
  </si>
  <si>
    <t>Cykl koncertów "Nowa Huta. Dlaczego Nie?!"</t>
  </si>
  <si>
    <t>Koncert "Nowa Huta. Dlaczego Nie?!" - Alternative</t>
  </si>
  <si>
    <t>Organizacja imprezy mikołajkowej dla najuboższych dzieci z terenu Dzielnicy XIV</t>
  </si>
  <si>
    <t>Organizacja wieczerzy wigilijnej dla biednych, samotnych i chorych z terenu Dzielnicy XIV</t>
  </si>
  <si>
    <t>Organizacja konkursu Palm Wielkanocnych</t>
  </si>
  <si>
    <t>Organizacja zajęć z samoobrony dla Pań</t>
  </si>
  <si>
    <t>Organzacja "Akcji Lato" i "Akcji Zima"</t>
  </si>
  <si>
    <t>SP 52- zakup tablicy multimedialnej</t>
  </si>
  <si>
    <t>SP 155- zakup tablicy multimedialnej</t>
  </si>
  <si>
    <t>SP 156- zakup tablicy multimedialnej</t>
  </si>
  <si>
    <t>ZEO/SP 156</t>
  </si>
  <si>
    <t xml:space="preserve"> ZEO</t>
  </si>
  <si>
    <t>Modernizacja placu zabaw w parku im. Stanisława Skalskiego</t>
  </si>
  <si>
    <t xml:space="preserve">Ogólnodostępna toaleta w Parku Lotników Polskich </t>
  </si>
  <si>
    <t>Budowa chodnika łączącego Aleję Jana Pawła II z ulicą Padniewskiego</t>
  </si>
  <si>
    <t xml:space="preserve">Zarząd Zieleni Miejskiej w Krakowie </t>
  </si>
  <si>
    <t xml:space="preserve">Cel zadania: </t>
  </si>
  <si>
    <t>Lata:</t>
  </si>
  <si>
    <t>Fazy realizacji inwestycji:</t>
  </si>
  <si>
    <t>Kwota i źródło finansowania</t>
  </si>
  <si>
    <t>Opracowanie dokumentacji i realizacja I odcinka</t>
  </si>
  <si>
    <t xml:space="preserve"> 25 000 zł brutto – środki wydzielone do dyspozycji Rady Dzielnicy XIV Czyżyny.</t>
  </si>
  <si>
    <t>Realizacja zadania (II odcinek wraz z montażem lamp)</t>
  </si>
  <si>
    <t>Budowa miejsc parkingowych przy ul. Hynka</t>
  </si>
  <si>
    <t xml:space="preserve">Zarząd Infrastruktury Komunalnej i Transportu w Krakowie </t>
  </si>
  <si>
    <t xml:space="preserve">Opracowanie dokumentacji </t>
  </si>
  <si>
    <t>9 500 zł brutto – środki wydzielone do dyspozycji Rady Dzielnicy XIV Czyżyny.</t>
  </si>
  <si>
    <t xml:space="preserve">Realizacja zadania </t>
  </si>
  <si>
    <t>30 000 zł brutto – środki wydzielone do dyspozycji Rady Dzielnicy XIV Czyżyny.</t>
  </si>
  <si>
    <t>Zamontowanie oświetlenia wzdłuż chodnika od bloku nr 47 na os. 2 Pułku Lotniczego do al. Jana Pawła II</t>
  </si>
  <si>
    <t>0 zł brutto – środki wydzielone do dyspozycji Rady Dzielnicy XIV Czyżyny.</t>
  </si>
  <si>
    <t>Druk gazetki dzielnicowej</t>
  </si>
  <si>
    <t>Kancelaria Rady Miasta i Dzielnic Krakowa (BR UMK)</t>
  </si>
  <si>
    <t>Druk gazetki dzielnicowej „Echo Czyżyn”</t>
  </si>
  <si>
    <t>Realizacja zadania</t>
  </si>
  <si>
    <t>8 000 zł brutto – środki wydzielone do dyspozycji Rady Dzielnicy XIV Czyżyny.</t>
  </si>
  <si>
    <t>12 000 zł brutto – środki wydzielone do dyspozycji Rady Dzielnicy XIV Czyżyny.</t>
  </si>
  <si>
    <t>12 000 zł brutto – środki wydzielone do dyspozycji Rady Dzielnicy XIV Czyżyny.</t>
  </si>
  <si>
    <t>Kolportaż gazetki dzielnicowej</t>
  </si>
  <si>
    <t xml:space="preserve">Kolportaż gazetki dzielnicowej na terenie Dzielnicy XIV Czyżyny  </t>
  </si>
  <si>
    <t>5 000 zł brutto – środki wydzielone do dyspozycji Rady Dzielnicy XIV Czyżyny.</t>
  </si>
  <si>
    <t>7 000 zł brutto – środki wydzielone do dyspozycji Rady Dzielnicy XIV Czyżyny.</t>
  </si>
  <si>
    <t>Budowa i modernizacja oświetlenia wg wskazań Dzielnicy</t>
  </si>
  <si>
    <t xml:space="preserve">Budowa i modernizacja oświetlenia wg wskazań Dzielnicy (psi wybieg) </t>
  </si>
  <si>
    <t>- rozpoczęcie opracowania dokumentacji</t>
  </si>
  <si>
    <t>- zakończenie opracowania dokumentacji;</t>
  </si>
  <si>
    <t>60 500 zł brutto – środki wydzielone do dyspozycji Rady Dzielnicy XIV Czyżyny.</t>
  </si>
  <si>
    <t>- realizacja</t>
  </si>
  <si>
    <t>Budowa przejścia dla pieszych przez ul. Isep wraz z brakującym kawałkiem chodnika w rejonie ulicy Wiklinowej</t>
  </si>
  <si>
    <r>
      <rPr>
        <b/>
        <sz val="10"/>
        <color indexed="8"/>
        <rFont val="Verdana"/>
        <family val="2"/>
      </rPr>
      <t>14 500 zł brutto</t>
    </r>
    <r>
      <rPr>
        <sz val="10"/>
        <color indexed="8"/>
        <rFont val="Verdana"/>
        <family val="2"/>
      </rPr>
      <t xml:space="preserve"> – środki wydzielone do dyspozycji Rady Dzielnicy XIV Czyżyny.</t>
    </r>
  </si>
  <si>
    <t>BUDŻET OBYWATELSKI:</t>
  </si>
  <si>
    <t>Zarząd Infrastruktury Komunalnej i Transportu w Krakowie; Zarząd Zieleni Miejskiej w Krakowie (uchwała z dn. 26.08.2015 r.)</t>
  </si>
  <si>
    <t>Strefa malucha na placu zabaw na os. 2 Pułku Lotniczego</t>
  </si>
  <si>
    <t>Wyznaczenie bezpiecznej strefy zabawy dla dzieci i wyposażenie w nowy sprzęt placu zabaw na os. 2 Pułku Lotniczego</t>
  </si>
  <si>
    <t>5 000 zł brutto – środki wydzielone do dyspozycji Rady Dzielnicy XIV Czyżyny (budżet obywatelski)</t>
  </si>
  <si>
    <t xml:space="preserve">36 000 zł brutto – środki wydzielone do dyspozycji Rady Dzielnicy XIV Czyżyny (kontynuacja zadania wyłonionego w ramach budżetu obywatelskiego) </t>
  </si>
  <si>
    <t>Kolorowy ogród zabaw dla dzieci (P185)</t>
  </si>
  <si>
    <t xml:space="preserve">Zespół Ekonomiki Oświaty w Krakowie </t>
  </si>
  <si>
    <t>Kolorowy ogród zabaw dla dzieci (P 185) – zakup nowych urządzeń do ogrodu w Przedszkolu nr 185 „Słoneczko”</t>
  </si>
  <si>
    <t>10 500 zł brutto – środki wydzielone do dyspozycji Rady Dzielnicy XIV Czyżyny (budżet obywatelski)</t>
  </si>
  <si>
    <t>31 415 zł brutto – środki wydzielone do dyspozycji Rady Dzielnicy XIV Czyżyny (kontynuacja zadania wyłonionego w ramach budżetu obywatelskiego)</t>
  </si>
  <si>
    <r>
      <t xml:space="preserve">Trasa spacerowa obok pasa startowego dawnego lotniska </t>
    </r>
    <r>
      <rPr>
        <sz val="10"/>
        <color indexed="10"/>
        <rFont val="Times New Roman"/>
        <family val="1"/>
      </rPr>
      <t>(WPF-WPI 2017-2018)</t>
    </r>
  </si>
  <si>
    <r>
      <t xml:space="preserve">Budowa przejścia dla pieszych przez ul. Isep wraz z brakującym kawałkiem chodnika w rejonie ulicy Wiklinowej </t>
    </r>
    <r>
      <rPr>
        <sz val="10"/>
        <color indexed="10"/>
        <rFont val="Times New Roman"/>
        <family val="1"/>
      </rPr>
      <t>(WPF-WPI 2016-2017)</t>
    </r>
  </si>
  <si>
    <r>
      <t xml:space="preserve">Zamontowanie oświetlenia wzdłuż chodnika od bloku nr 47 na os. 2 Pułku Lotniczego do al. Jana Pawła II </t>
    </r>
    <r>
      <rPr>
        <sz val="10"/>
        <color indexed="10"/>
        <rFont val="Times New Roman"/>
        <family val="1"/>
      </rPr>
      <t>(WPF-WPI 2016-2017)</t>
    </r>
  </si>
  <si>
    <r>
      <t xml:space="preserve">Budowa miejsc parkingowych przy ul. Hynka (etapowanie) </t>
    </r>
    <r>
      <rPr>
        <sz val="10"/>
        <color indexed="10"/>
        <rFont val="Times New Roman"/>
        <family val="1"/>
      </rPr>
      <t>(WPF-WPI 2016-2017)</t>
    </r>
  </si>
  <si>
    <r>
      <t xml:space="preserve">Budowa chodnika łączącego Aleję Jana Pawła II z ulicą Padniewskiego </t>
    </r>
    <r>
      <rPr>
        <sz val="10"/>
        <color indexed="10"/>
        <rFont val="Times New Roman"/>
        <family val="1"/>
      </rPr>
      <t>(WPF-WPI 2016-2017)</t>
    </r>
  </si>
  <si>
    <t>Remont chodnika przy ul. Hynka od ul. Uniwersału Połanieckiego do ul. Braci Schindlerów</t>
  </si>
  <si>
    <t xml:space="preserve">Remont chodnika przy ul. Wężyka 15 w Krakowie </t>
  </si>
  <si>
    <r>
      <t xml:space="preserve">Budowa bezpiecznego dojścia oraz parkingu przy ul. Ciepłowniczej - filia przedszkola 110 </t>
    </r>
    <r>
      <rPr>
        <sz val="10"/>
        <color indexed="10"/>
        <rFont val="Times New Roman"/>
        <family val="1"/>
      </rPr>
      <t>(WPF-WPI 2017-2018)</t>
    </r>
  </si>
  <si>
    <t>Budowa bezpiecznego dojścia oraz parkingu przy ul. Ciepłowniczej - filia Przedszkola 110</t>
  </si>
  <si>
    <r>
      <rPr>
        <b/>
        <sz val="10"/>
        <rFont val="Verdana"/>
        <family val="2"/>
      </rPr>
      <t>180 000 zł brutto</t>
    </r>
    <r>
      <rPr>
        <sz val="10"/>
        <rFont val="Verdana"/>
        <family val="2"/>
      </rPr>
      <t xml:space="preserve"> – środki wydzielone do dyspozycji Rady Dzielnicy XIV Czyżyny.</t>
    </r>
  </si>
  <si>
    <t>Remont ul. Narciarskiej na odcinku od ul. Gałczyńskiego w kierunku drogi p. pożarowej MPO (chodnik+nawierzchnia)</t>
  </si>
  <si>
    <r>
      <t xml:space="preserve">Budowa schodów terenowych przy przystanku ul. Bora Komorowskiego-ul. Skarżyńskiego </t>
    </r>
    <r>
      <rPr>
        <sz val="10"/>
        <color indexed="10"/>
        <rFont val="Times New Roman"/>
        <family val="1"/>
      </rPr>
      <t>(WPF-WPI 2016-2017)</t>
    </r>
  </si>
  <si>
    <t>Budowa oświetlenia wg. wskazań Dzielnicy (psi wybieg)</t>
  </si>
  <si>
    <t>Cel zadania:</t>
  </si>
  <si>
    <t xml:space="preserve">Rozpoczęcie opracowania dokumentacji </t>
  </si>
  <si>
    <t>Zakończenie opracowania dokumentacji, rozpoczęcie realizacji zadania</t>
  </si>
  <si>
    <t>35 500 zł brutto – środki wydzielone do dyspozycji Rady Dzielnicy XIV Czyżyny.</t>
  </si>
  <si>
    <t xml:space="preserve">Zakończenie realizacji zadania </t>
  </si>
  <si>
    <t>25 000 zł brutto – środki wydzielone do dyspozycji Rady Dzielnicy XIV Czyżyny.</t>
  </si>
  <si>
    <r>
      <t xml:space="preserve"> </t>
    </r>
    <r>
      <rPr>
        <b/>
        <sz val="10"/>
        <color indexed="8"/>
        <rFont val="Verdana"/>
        <family val="2"/>
      </rPr>
      <t>Budowa schodów terenowych przy przystanku ul. Bora Komorowskiego -</t>
    </r>
  </si>
  <si>
    <t>ul. Skarżyńskiego</t>
  </si>
  <si>
    <t xml:space="preserve"> Budowa schodów terenowych przy przystanku ul. Bora Komorowskiego -</t>
  </si>
  <si>
    <t xml:space="preserve"> ul. Skarżyńskiego</t>
  </si>
  <si>
    <t>615 zł brutto – środki wydzielone do dyspozycji Rady Dzielnicy XIV Czyżyny.</t>
  </si>
  <si>
    <t>Zakończenie opracowania dokumentacji wraz z realizacją  zadania</t>
  </si>
  <si>
    <t xml:space="preserve">Trasa spacerowa obok pasa startowego dawnego lotniska </t>
  </si>
  <si>
    <t>Trasa spacerowa obok pasa startowego dawnego lotniska</t>
  </si>
  <si>
    <t>6 700 zł brutto – środki wydzielone do dyspozycji Rady Dzielnicy XIV Czyżyny.</t>
  </si>
  <si>
    <t xml:space="preserve">Zakończenie opracowania dokumentacji, realizacja zadania </t>
  </si>
  <si>
    <t>33 300 zł brutto – środki wydzielone do dyspozycji Rady Dzielnicy XIV Czyżyny.</t>
  </si>
  <si>
    <t>zmiana kwoty z 31 000 zł na 24 293 zł (uchwła Nr XXXIX/290/17 z dn. 18.01.2017 r.)</t>
  </si>
  <si>
    <t>24 293 zł brutto – środki wydzielone do dyspozycji Rady Dzielnicy XIV Czyżyny.</t>
  </si>
  <si>
    <t>zmiana kwoty z 33 300 zł 83 300 zł (Uchwała Nr XXXIX/.291/17 z dn. 18.01.2017 r.)</t>
  </si>
  <si>
    <r>
      <t xml:space="preserve">Budowa i modernizacja oświetlenia wg wskazań dzielnicy (przy psim wybiegu) </t>
    </r>
    <r>
      <rPr>
        <sz val="10"/>
        <color indexed="10"/>
        <rFont val="Times New Roman"/>
        <family val="1"/>
      </rPr>
      <t>(WPF-WPI 2017-2018)</t>
    </r>
  </si>
  <si>
    <t>zmiana lat realizacji na 2017-2018 (Uchwął Nr XXXIX/292/17 z dn. 18.01.2017 r.)</t>
  </si>
  <si>
    <t>Remont toru przeszkód dla osob niepełnosprawnych przy ZSO nr 14</t>
  </si>
  <si>
    <t xml:space="preserve">Malowanie i inne prace remontowe w filii Samorzadowego Przedszkola nr 110 przy ul. Ciepłowniczej 34 w Krakowie </t>
  </si>
  <si>
    <t xml:space="preserve">Budowa przejścia dla pieszych w ul. Hynka </t>
  </si>
  <si>
    <r>
      <t xml:space="preserve">Budowa przejścia dla pieszych do ogródka jordanowskiego przy ul. Marii Dąbrowskiej  </t>
    </r>
    <r>
      <rPr>
        <sz val="10"/>
        <color indexed="10"/>
        <rFont val="Times New Roman"/>
        <family val="1"/>
      </rPr>
      <t>(WPF-WPI 2016-2017)</t>
    </r>
  </si>
  <si>
    <r>
      <t xml:space="preserve"> </t>
    </r>
    <r>
      <rPr>
        <b/>
        <sz val="10"/>
        <color indexed="8"/>
        <rFont val="Verdana"/>
        <family val="2"/>
      </rPr>
      <t>Budowa przejścia dla pieszych do ogródka jordanowskiego przy ul Marii Dąbrowskiej</t>
    </r>
  </si>
  <si>
    <r>
      <t xml:space="preserve"> </t>
    </r>
    <r>
      <rPr>
        <sz val="10"/>
        <color indexed="8"/>
        <rFont val="Verdana"/>
        <family val="2"/>
      </rPr>
      <t>Budowa przejścia dla pieszych do ogródka jordanowskiego przy ul Marii Dąbrowskiej</t>
    </r>
  </si>
  <si>
    <r>
      <t xml:space="preserve">Opracowanie dokumentacji, 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Verdana"/>
        <family val="2"/>
      </rPr>
      <t>rozpoczęcie realizacji zadania</t>
    </r>
  </si>
  <si>
    <t>21 000 zł brutto – środki wydzielone do dyspozycji Rady Dzielnicy XIV Czyżyny.</t>
  </si>
  <si>
    <t>Zakończenie realizacji zadania</t>
  </si>
  <si>
    <t>Uchwała Nr XLII/313/17 RD z dn. 01.03.2017 r.</t>
  </si>
  <si>
    <t xml:space="preserve">Remont chodnika przy bloku nr 46 w os. 2 Pułku Lotniczego </t>
  </si>
  <si>
    <t>Remont chodnika przy ul. Hynka (od Braci Schindlerów do os. Dywizjonu 303 bl. 55)</t>
  </si>
  <si>
    <t>Projekt Senior (centrum Aktywności Seniorów "Młodzi Duchem")</t>
  </si>
  <si>
    <t>Serwis urzadzeń biurowych i komputerowych</t>
  </si>
  <si>
    <t>Halowe mistrzostwa Czyżyn w Piłce Nożnej</t>
  </si>
  <si>
    <t>Realizacja warsztatów dla dzieci niepełnosprawnych</t>
  </si>
  <si>
    <t>Nowa Huta Champions League</t>
  </si>
  <si>
    <t>Organizacja harcmitingu</t>
  </si>
  <si>
    <t>OU UMK</t>
  </si>
  <si>
    <t>par. 4300 - zakup usług pozostałych</t>
  </si>
  <si>
    <t xml:space="preserve">Zakup wyposażenia boiska wielofunkcyjnego przy ul. Kamionka </t>
  </si>
  <si>
    <t>Remont ul. Hynka</t>
  </si>
  <si>
    <t>I) DZIELNICOWY PROGRAM WSPIERANIA DZIAŁALNOŚCI MIEJSKICH PLACÓWEK: OŚWIATY, KULTURY, SPORTU, POMOCY SPOŁECZNEJ I ZDROWIA</t>
  </si>
  <si>
    <t>Budowa nowego ogródka jordanowskiego na działkach nr: 20/49 i 20/48 Obr. 48 j. ew. Nowa Huta</t>
  </si>
  <si>
    <t>Zarząd Zieleni Miejskiej w Krakowie w Krakowie</t>
  </si>
  <si>
    <t xml:space="preserve">Projekt </t>
  </si>
  <si>
    <t>15 000 zł brutto środki wydzielone do dyspozycji Rady Dzielnicy XIV Czyżyny.</t>
  </si>
  <si>
    <t>Budowa i zakończenie realizacji zadania</t>
  </si>
  <si>
    <t>100 000 zł brutto środki wydzielone do dyspozycji Rady Dzielnicy XIV Czyżyny.</t>
  </si>
  <si>
    <t xml:space="preserve">Uchwała Nr XLVI/363/17 RD z dn. 27.06.2017 r. </t>
  </si>
  <si>
    <t>par. 4260- zakup energii</t>
  </si>
  <si>
    <t>Usunięcie płyt betonowych na działkach nr: 20/49 i 20/48 obr. 48 j. ew. Nowa Huta</t>
  </si>
  <si>
    <t>korekta WPF-WPFI Uchwał nr XLVII/373/17 z dn. 12.07.2017 r.</t>
  </si>
  <si>
    <r>
      <rPr>
        <strike/>
        <sz val="10"/>
        <color indexed="10"/>
        <rFont val="Verdana"/>
        <family val="2"/>
      </rPr>
      <t xml:space="preserve">48 500 zł </t>
    </r>
    <r>
      <rPr>
        <b/>
        <sz val="10"/>
        <color indexed="10"/>
        <rFont val="Verdana"/>
        <family val="2"/>
      </rPr>
      <t>16 325 zł</t>
    </r>
    <r>
      <rPr>
        <strike/>
        <sz val="10"/>
        <color indexed="10"/>
        <rFont val="Verdana"/>
        <family val="2"/>
      </rPr>
      <t xml:space="preserve"> </t>
    </r>
    <r>
      <rPr>
        <sz val="10"/>
        <color indexed="10"/>
        <rFont val="Verdana"/>
        <family val="2"/>
      </rPr>
      <t>brutto – środki wydzielone do dyspozycji Rady Dzielnicy XIV Czyżyny.</t>
    </r>
  </si>
  <si>
    <t>Budowa przejścia dla pieszych przez ul. Ciepłowniczą na wysokości ul. Szafrańskiej wraz z fragmentem chodnika</t>
  </si>
  <si>
    <t>Zarząd Infrastruktury Komunalnej i Transportu w Krakowie</t>
  </si>
  <si>
    <t>Budowa przejścia dla pieszych przez ul. Ciepłowniczą na wysokości ul.</t>
  </si>
  <si>
    <t>Szafrańskiej wraz z fragmentem chodnika</t>
  </si>
  <si>
    <t>Opracowanie programu funkcjonalno-użytkowego, rozpoczęcie opracowania dokumentacji projektowej</t>
  </si>
  <si>
    <t>3 600 zł brutto środki wydzielone do dyspozycji Rady Dzielnicy XIV Czyżyny.</t>
  </si>
  <si>
    <t xml:space="preserve">Zakończenie opracowania dokumentacji, realizacja </t>
  </si>
  <si>
    <t>138 000 zł brutto środki wydzielone do dyspozycji Rady Dzielnicy XIV Czyżyny.</t>
  </si>
  <si>
    <t xml:space="preserve">Uchwała Nr XLVII/374/17 z dn. 12.07.2017 r. </t>
  </si>
  <si>
    <t>zmiana kwoty z 44 135 zł na 60 842 zł - Uchwała Nr XXXIX/294/17 z dn. 18.01.2017 ; zmiana kwoty z 60 842 zł - Uchwała Nr XLIX/391/17 z dn. 29.08.2017 r.</t>
  </si>
  <si>
    <r>
      <rPr>
        <b/>
        <sz val="10"/>
        <color indexed="10"/>
        <rFont val="Verdana"/>
        <family val="2"/>
      </rPr>
      <t>59 642 zł brutt</t>
    </r>
    <r>
      <rPr>
        <sz val="10"/>
        <color indexed="10"/>
        <rFont val="Verdana"/>
        <family val="2"/>
      </rPr>
      <t>o – środki wydzielone do dyspozycji Rady Dzielnicy XIV Czyżyny.</t>
    </r>
  </si>
  <si>
    <t>Zakup niszczarki do biura dzielnicy</t>
  </si>
  <si>
    <t xml:space="preserve">Uchwała Nr LI/403/17 RD z dn. 14.09.2017 r. </t>
  </si>
  <si>
    <r>
      <rPr>
        <b/>
        <strike/>
        <sz val="10"/>
        <color indexed="8"/>
        <rFont val="Verdana"/>
        <family val="2"/>
      </rPr>
      <t>33 000 zł brutto</t>
    </r>
    <r>
      <rPr>
        <b/>
        <sz val="10"/>
        <color indexed="8"/>
        <rFont val="Verdana"/>
        <family val="2"/>
      </rPr>
      <t xml:space="preserve">       32 600 zł brutto –</t>
    </r>
    <r>
      <rPr>
        <sz val="10"/>
        <color indexed="8"/>
        <rFont val="Verdana"/>
        <family val="2"/>
      </rPr>
      <t xml:space="preserve"> środki wydzielone do dyspozycji Rady Dzielnicy XIV Czyżyny.</t>
    </r>
  </si>
  <si>
    <r>
      <rPr>
        <b/>
        <strike/>
        <sz val="10"/>
        <color indexed="8"/>
        <rFont val="Verdana"/>
        <family val="2"/>
      </rPr>
      <t>20 000 zł brutto</t>
    </r>
    <r>
      <rPr>
        <b/>
        <sz val="10"/>
        <color indexed="8"/>
        <rFont val="Verdana"/>
        <family val="2"/>
      </rPr>
      <t xml:space="preserve">    </t>
    </r>
    <r>
      <rPr>
        <sz val="10"/>
        <color indexed="8"/>
        <rFont val="Verdana"/>
        <family val="2"/>
      </rPr>
      <t xml:space="preserve"> </t>
    </r>
    <r>
      <rPr>
        <b/>
        <sz val="10"/>
        <color indexed="8"/>
        <rFont val="Verdana"/>
        <family val="2"/>
      </rPr>
      <t>19 300 zł brutto</t>
    </r>
    <r>
      <rPr>
        <sz val="10"/>
        <color indexed="8"/>
        <rFont val="Verdana"/>
        <family val="2"/>
      </rPr>
      <t xml:space="preserve"> – środki wydzielone do dyspozycji Rady Dzielnicy XIV Czyżyny.</t>
    </r>
  </si>
  <si>
    <t xml:space="preserve">Uchwała Nr LI/402/17 RD z dn. 14.09.2017 r. </t>
  </si>
  <si>
    <t xml:space="preserve">korekta Uchwała Nr LII/409/17 Rady Dzielnicy XIV Czyżyny z dn. 20.09.2017 r. </t>
  </si>
  <si>
    <t>Budowa przejścia dla pieszych w ul. Hynka</t>
  </si>
  <si>
    <t>4 310 zł brutto – środki wydzielone do dyspozycji Rady Dzielnicy XIV Czyżyny.</t>
  </si>
  <si>
    <t xml:space="preserve">Zakończenie opracowania dokumentacji + realizacja zadania </t>
  </si>
  <si>
    <r>
      <t xml:space="preserve">Budowa przejścia dla pieszych w ul. Hynka </t>
    </r>
    <r>
      <rPr>
        <sz val="10"/>
        <color indexed="10"/>
        <rFont val="Times New Roman"/>
        <family val="1"/>
      </rPr>
      <t>(WPF-WPI 2017-2018)</t>
    </r>
  </si>
  <si>
    <t>Remont deptaka od ul. Jana Pawła II wzdłuż ul. Stella Sawickiego do ul. Medweckiego - przy wale ziemnym (kontynuacja)</t>
  </si>
  <si>
    <t>Malowanie pomieszczenia do składowania warzyw</t>
  </si>
  <si>
    <t>ZEO/ZSO 14</t>
  </si>
  <si>
    <t>ZSO 14 - Mikołajkowy turniej tenisa stołowego</t>
  </si>
  <si>
    <r>
      <rPr>
        <strike/>
        <sz val="10"/>
        <color indexed="8"/>
        <rFont val="Verdana"/>
        <family val="2"/>
      </rPr>
      <t>24 000 zł brutto</t>
    </r>
    <r>
      <rPr>
        <sz val="10"/>
        <color indexed="8"/>
        <rFont val="Verdana"/>
        <family val="2"/>
      </rPr>
      <t xml:space="preserve">       </t>
    </r>
    <r>
      <rPr>
        <b/>
        <strike/>
        <sz val="10"/>
        <color indexed="8"/>
        <rFont val="Verdana"/>
        <family val="2"/>
      </rPr>
      <t xml:space="preserve">23 100 zł </t>
    </r>
    <r>
      <rPr>
        <b/>
        <sz val="10"/>
        <color indexed="8"/>
        <rFont val="Verdana"/>
        <family val="2"/>
      </rPr>
      <t>22 300</t>
    </r>
    <r>
      <rPr>
        <sz val="10"/>
        <color indexed="8"/>
        <rFont val="Verdana"/>
        <family val="2"/>
      </rPr>
      <t>– środki wydzielone do dyspozycji Rady Dzielnicy XIV Czyżyny.</t>
    </r>
  </si>
  <si>
    <t>Uchwała Nr LIII/436/17 RD z dn. 02.10.2017 r. ; Uchwała Nr LVII/466/17 Rd z dn. 15.11.2017</t>
  </si>
  <si>
    <t>Kwota wydatkowana</t>
  </si>
  <si>
    <t>Pozostało</t>
  </si>
  <si>
    <t xml:space="preserve">Opis zadania </t>
  </si>
  <si>
    <t>Remont chodnika przy ul. Śliwkowej</t>
  </si>
  <si>
    <t>ZSO 14 Wymiana płytek PCV na korytarzach i salach i inne prace remontowe</t>
  </si>
  <si>
    <t>SP 52 Remont nieszczelnych przeszkleń w obu klatkach schodowych i inne prace remontowe</t>
  </si>
  <si>
    <t>SP 52 Dokończenie malowania klatek schodowych, korytarzy, sal  i inne prace remontowe</t>
  </si>
  <si>
    <t>SP 155 Remont dachu - kontynuacja  i inne prace remontowe</t>
  </si>
  <si>
    <t>SP 156 Wymiana stolarki okiennej i inne prace remontowe</t>
  </si>
  <si>
    <t>Przedszkole 182 - remont oświetlenia awaryjnego na drogach komunikacyjno-ewakuacyjnych i inne prace remontowe</t>
  </si>
  <si>
    <t>Przedszkole 182 - wymiana drzwi w kuchni i inne prace remontowe</t>
  </si>
  <si>
    <t>Przedszkole 182  - remont sanitariatu dla dzieci (przy sali zabaw)</t>
  </si>
  <si>
    <t>Przedszkole 185 - remont sanitariatu i inne prace remontowe</t>
  </si>
  <si>
    <t>Przedszkole 185 - remont schodów kuchennych i inne prace remontowe</t>
  </si>
  <si>
    <t>Zamontowanie daszku na schodami zewnętrznymi w filii przedszkola 110 ul. Ciepłownicza 34 i inne prace remontowe</t>
  </si>
  <si>
    <t>Wymiana drzwi wewnętrznych w filii przedszkola 110 ul. Ciepłownicza 34 i inne prace remontowe</t>
  </si>
  <si>
    <t>Wymiana gniazd i wyłączników elektrycznych w filii przedszkola 110 - AWF i inne prace remontowe</t>
  </si>
  <si>
    <t>Wymiana drzwi wewnętrznych w filii przedszkola 110 - AWF i inne prace remontowe</t>
  </si>
  <si>
    <t>Malowanie kuchni (lamperia) w filii przedszkola 110 - AWF i inne prace remontowe</t>
  </si>
  <si>
    <r>
      <t xml:space="preserve">Remont parkingu w rejonie bloku nr </t>
    </r>
    <r>
      <rPr>
        <b/>
        <sz val="10"/>
        <rFont val="Times New Roman"/>
        <family val="1"/>
      </rPr>
      <t>15</t>
    </r>
    <r>
      <rPr>
        <sz val="10"/>
        <rFont val="Times New Roman"/>
        <family val="1"/>
      </rPr>
      <t xml:space="preserve">A na ul. Wężyka </t>
    </r>
  </si>
  <si>
    <t>Remont chodnika w rejonie bloku nr 45 os. 2 Pułku Lotniczego</t>
  </si>
  <si>
    <t>Komisariat Policji nr VIII  –dodatkowe płatne patrole Policji - 8 godzinne-14 służb</t>
  </si>
  <si>
    <t>Wymiana posadzek na korytarzach z dostosowaniem do potrzeb osób niepełnosprawnych  oraz wymiana posadzek w salach dydaktycznuch z dostosowaniem do potrzeb osób niepełnosprawnch w Przedszkolu Integracyjnym nr 182 oraz malowanie klatek schodowych i inne prace remontowe</t>
  </si>
  <si>
    <t xml:space="preserve">Zakup książek do Filii nr 47 Biblioteki Kraków </t>
  </si>
  <si>
    <t xml:space="preserve">Prenumerata pism i czasopism w Filii nr 47 Biblioteki Kraków </t>
  </si>
  <si>
    <t xml:space="preserve">Doposażenie Filii nr 47 Biblioteki Kraków </t>
  </si>
  <si>
    <r>
      <t xml:space="preserve"> ZEO</t>
    </r>
    <r>
      <rPr>
        <sz val="10"/>
        <color indexed="8"/>
        <rFont val="Times New Roman"/>
        <family val="1"/>
      </rPr>
      <t>/SP z O. Integr. Nr 105</t>
    </r>
  </si>
  <si>
    <r>
      <t>Wspieranie    i    upowszechnianie    kultury   fizycznej    (organizacja wydarzeń sportowo-rekreacyjnych dla dzieci i młodzieży) -</t>
    </r>
    <r>
      <rPr>
        <sz val="10"/>
        <color indexed="30"/>
        <rFont val="Times New Roman"/>
        <family val="1"/>
      </rPr>
      <t xml:space="preserve"> </t>
    </r>
    <r>
      <rPr>
        <sz val="10"/>
        <rFont val="Times New Roman"/>
        <family val="1"/>
      </rPr>
      <t>w trybie przewidzianym w  art. 19 a ustawy o Działalności Pożytku Publicznego i Wolontariacie z 2003 r. z p. zm.</t>
    </r>
  </si>
  <si>
    <t>PROGRAM NOWA HUTA DZIŚ!    lista zadań</t>
  </si>
  <si>
    <t xml:space="preserve">1. Chodnik ul. Isep (pomiędzy ul. Siwka a Cuplową) </t>
  </si>
  <si>
    <t>2. Remont chodnika na os. 2 Pułku Lotniczego przy blokach nr: 44-45</t>
  </si>
  <si>
    <t xml:space="preserve">3. Ul. Medweckiego – remont chodnika w rejonie CH Czyżyny </t>
  </si>
  <si>
    <t>4.Ul. Medweckiego - odcinek od Ronda im. J. Lewandowskiej w kierunku ul. Stella Sawickiego - nakładka na dł. ok. 100 mb (1 kierunek, 2 pasy ruchu) z wymianą obrzeży i krawężników</t>
  </si>
  <si>
    <t>RAZEM:</t>
  </si>
  <si>
    <t>Budowa basenu przy Szkole Podstawowej nr 155, os. 2 Pułku Lotniczego 21</t>
  </si>
  <si>
    <t xml:space="preserve">NAZWA ZADANIA/RPOGRAMU MIEJSKIEGO </t>
  </si>
  <si>
    <t>Biblioteka Kraków</t>
  </si>
  <si>
    <t>Wykonanie okien na klatkach schodowych w Szkole Podstawowej nr 155  i inne prace remontowe</t>
  </si>
  <si>
    <t>Wymiana posadzki w stołówce Szkole Podstawowej nr 155 i inne prace remontowe</t>
  </si>
  <si>
    <t>W wyniku konkursu ofert wybrany został podmiot leczniczy: Comarch Healthcare S.A. Program szczepień ochronnych przeciw grypie dla osób po 65 roku życia zakończył się 29 listopada 2017 r. Umowa została rozliczona.</t>
  </si>
  <si>
    <t>W wyniku konkursu ofert wybrany został podmiot leczniczy: NZOZ Krakowski Ośrodek Diagnostyki Kręgosłupa J. Peszko. Program profilaktyki wad postawy zakończył się 29 listopada 2017 r. Umowa została rozliczona.</t>
  </si>
  <si>
    <t>Dokonano zakupu opasek uciskowych do tamowania krwotoków za kwotę dotacji 175 zł oraz zakupu sprzętu do reanimacji dzieci tj. resuscytator dla dzieci w kwocie 825 zł.</t>
  </si>
  <si>
    <t>W ramach realizacji zadania sfinansowano zakup 51 koszulek dla uczestników V edycji turnieju piłkarskiego Huta Champions League, który odbył się na boisku sportowym Orlik, os. Złotej Jesieni 16. W rozgrywkach udział wzięło 150 młodych osób ( 10 drużyn w dwóch kategoriach wiekowych - do 15 lat i powyżej 15 lat)</t>
  </si>
  <si>
    <t>Przedszkole nr 110 filia ul. Ciepłownicza - remont schodów zewnętrznych, zamontowanie poręczy i inne prace remontowe</t>
  </si>
  <si>
    <t>Wyremontowano schody zewnętrzne i zamontowano poręcze.</t>
  </si>
  <si>
    <t>Wymieniono drzwi wewnętrzne.</t>
  </si>
  <si>
    <t>Wymieniono gniazda i wyłączniki elektryczne.</t>
  </si>
  <si>
    <t>Wyremontowano oświetlenie w placówce.</t>
  </si>
  <si>
    <t>Wyremontowano sanitariat dla dzieci.</t>
  </si>
  <si>
    <t>Wyremontowano sanitariat.</t>
  </si>
  <si>
    <t>Wyremontowano schody kuchenne.</t>
  </si>
  <si>
    <t>Wyremontowano nieszczelne przeszklenia w obu klatkach oraz wymalowano bibliotekę.</t>
  </si>
  <si>
    <t>Wymieniono drzwi w kuchni. Zadanie zostało rozliczone na kwotę 3 995,88 zł, jednak z uwagi na centralizację podatku VAT w GMK został on odliczony w kwocie 2,24 zł.</t>
  </si>
  <si>
    <t>Wymalowano klatki schodowe, korytarze, sale oraz wymieniono osłonki na grzejniki       i zamontowanio bojler w bibliotece. Zadanie zostało rozliczone na kwotę 29 999, 89 zł, jednak z uwagi na centralizację podatku VAT w GMK zostal on odliczony w kwocie 7,74 zł.</t>
  </si>
  <si>
    <t>Wymieniono posadzkę w stołówce szkolnej.</t>
  </si>
  <si>
    <t>Wykonano dokumentację techniczną więźby dachowej wraz z ekspertyzą mykologiczną.</t>
  </si>
  <si>
    <t>Wyremontowano tor przeszkód.</t>
  </si>
  <si>
    <t>Zakupiono meble do gabinetu dyrektora, drukarkę i myszki komputerowe.</t>
  </si>
  <si>
    <t>Zakupiono księgozbiór w ilości 289 vol.</t>
  </si>
  <si>
    <t>Zaprenumerowano prasę w ilości 13 tytułów.</t>
  </si>
  <si>
    <t>Zakupiono wyposażenie w postaci 4 regałów oraz 4 puf.</t>
  </si>
  <si>
    <t>Wymieniono drzwi wewnętrzne w grupach.</t>
  </si>
  <si>
    <t>Zakup i montaz nowego dźwigu towarowego.</t>
  </si>
  <si>
    <t>Wymieniono część ogrodzenia.</t>
  </si>
  <si>
    <t>Zakup i montaż urządzeń ogrodowych.</t>
  </si>
  <si>
    <t>Wymalowano pomieszczenie do przechowywania warzyw.</t>
  </si>
  <si>
    <t>Zorganizowano festyn z okazji Dnia Dziecka.</t>
  </si>
  <si>
    <t>Usługi psychologiczno-logopedyczne dla dzieci żłobka.</t>
  </si>
  <si>
    <t>Zakupiono wyposażenie do  żłobka.</t>
  </si>
  <si>
    <t>Zakupiono wyposażenie do sali sensorycznej.</t>
  </si>
  <si>
    <t>dlaczego niewydatkowane??</t>
  </si>
  <si>
    <t>Zakupiono zabawki na nagrody za udział w konkursie "Przegląd Nowohucki".</t>
  </si>
  <si>
    <t>Zakupiono materiały biurowe oraz upominki, zapłacono za występ artystyczny, usługę graficzną oraz wydruki reklamowe.</t>
  </si>
  <si>
    <t>Wypłata umowy-zlecenia dla osoby realizującej zajęcia z tenisa stołowego dla mieszkańców dzielnicy.</t>
  </si>
  <si>
    <t>Zakupiono koszulki, nagrody i puchary.</t>
  </si>
  <si>
    <t>Wyjazd do Pszczyny, wyjazd do Stróży, zakup arykułów spożywczych na zorganizowanie spotkania wigilijnego, zakup pianina.</t>
  </si>
  <si>
    <t>Usługa kateringowa.</t>
  </si>
  <si>
    <t>Zakupiono lustro do sali tanecznej, kosze na odpady, obraz pinkowy, tablice korkowe, tablice flipchart, artykuły biurowe, środki czystości, artykuły dla konserwatora.</t>
  </si>
  <si>
    <t>Zakupiono nagrody dla młodzieży uczestniczącej w konkursach: pendrive, latarki, kalkulatory, długopisy, medale, statuetki, książki.</t>
  </si>
  <si>
    <t>Zakupiono mikrofony i parasole z logo szkoły.</t>
  </si>
  <si>
    <t>Zakupiono nagrody:medale, wstążki, batony, książki.</t>
  </si>
  <si>
    <t>Zakupiono obrazki, kubki, bryloczki, magnesy, stroje, kabel zasilający tablicę multimedialną</t>
  </si>
  <si>
    <t>Zakupiono piłki, książki, bryloczki, ikony, obrazki, puchary, klocki, gry planszowe, magnesy.</t>
  </si>
  <si>
    <t xml:space="preserve">Zakupiono tablicę interaktywną, projektor i artykuły biurowe. </t>
  </si>
  <si>
    <t xml:space="preserve">Zakupiono nagrody dla uczestników  konkursów: ksiązki, gry, przypinki. </t>
  </si>
  <si>
    <t>Zakupiono artykuły biurowe i pomoce dydaktyczne.</t>
  </si>
  <si>
    <t>Zakupiono pomoce dydaktyczne.</t>
  </si>
  <si>
    <t>Zakupiono zestaw komupterowy.</t>
  </si>
  <si>
    <t>Zakupiono zabawki na nagrody za udział w konkursie.</t>
  </si>
  <si>
    <t>Zakupiono: dyplomy, podziękowania, ilustrowane słowniki, telefax, magnetofony, krzesło, materiał na stroje dla dzieci, warnik do wody, artykuły biurowe.</t>
  </si>
  <si>
    <t>Zakupiono nagrody: upominki dla dzieci: piórniki, gumki, ilustrowane słowniki.</t>
  </si>
  <si>
    <t>Zadanie niezrealizowane.</t>
  </si>
  <si>
    <t>Zorganizowano warsztaty taneczne dla młodzieży.</t>
  </si>
  <si>
    <t>Zakupiono tablicę interaktywną.</t>
  </si>
  <si>
    <t>Wyjazd do Rabki, transport.</t>
  </si>
  <si>
    <t>Wyjazd do Lanckorony, przejazd klasy na zajęcia.</t>
  </si>
  <si>
    <t>Dofinansowanie do pobytu na zielonej szkole.</t>
  </si>
  <si>
    <t>Transport młodzieży na EUROWEEK.</t>
  </si>
  <si>
    <t>Zakup monitora, urządzenia wielofunkcyjnego, dysku oraz materiałów do gabinetu logopedycznego.</t>
  </si>
  <si>
    <t>Zaukp materiałów do organizacji turnieju.</t>
  </si>
  <si>
    <t>Zakupiono nagrody dla dzieci w konkursach oraz zorganizowano przedstawienie.</t>
  </si>
  <si>
    <t>Zakupiono nagrody, zorganizowano warsztaty.</t>
  </si>
  <si>
    <t>Opłacono transport na zawody, zakupiono sprzęt sportowy: piłki.</t>
  </si>
  <si>
    <t>Opłacono usługę kateringową.</t>
  </si>
  <si>
    <t>Zakupiono nagrody, artykuły dekoracyjne oraz opłacono usługę kateringową.</t>
  </si>
  <si>
    <t>Zakupiono stroje regionalne.</t>
  </si>
  <si>
    <t>Zakupiono tablicę multimedialną.</t>
  </si>
  <si>
    <t>Zakup tablicy interaktywnej.</t>
  </si>
  <si>
    <t>Samorządowe Przedszkole nr 110, filia ul. Ciepłownicza 34 - zakup i montaż domofonu</t>
  </si>
  <si>
    <t>Zakup i montaż domofonu.</t>
  </si>
  <si>
    <t>Zakupiono piłki MOLTEN V5M4500, piłki ręczne ULTIMATE Replika 2, TANGO ROSARIO.</t>
  </si>
  <si>
    <t>Zakupiono urządzenia do ogrodu: lokomotywa z wagonami i huśtawka sprężynka.</t>
  </si>
  <si>
    <t>Zawarto umowy z Fundacją im. Brata Alberta. Zorganizowano wycieczkę uczestników do Wisły.</t>
  </si>
  <si>
    <t>Zamontowano urządzenia zabawowe: wielofunkcyjny zestaw zabawowy z nawierzchnią utwardzoną pod zjeżdżalnię, domek dla dzieci  i ławostół.</t>
  </si>
  <si>
    <t>Przewozy uczniów podczas wycieczek.</t>
  </si>
  <si>
    <t>Zamontowano daszek nad schodami oraz poręcze przy schodach.</t>
  </si>
  <si>
    <t>Wymalowano pomieszczenia: salę zabaw, łazienkę dla dzieci, salę do zabaw ruchowych, salę do zajęć religii.</t>
  </si>
  <si>
    <t>Wymieniono drzwi wewnętrzne do łazienki, sali zabaw i kuchni.</t>
  </si>
  <si>
    <t>Wymieniono płytki PCV na korytarzach i salach oraz wyremontowano instalację elektryczną. Zadanie zostało rozliczone na kwotę 49 999,70 zł, jednak z uwagi na centralizację podatku VAT w GMK został on odliczony w kwocie 1 782,73 zł.</t>
  </si>
  <si>
    <t>Zadanie zrealizowano i zafakturowano. Wykonano: wymianę zniszczonej nawierzchni z EPDM na terenie ogródków jordanowskich przy ul. Wężyka i w os. 2 Pułku Lotniczego k/bl. 47.</t>
  </si>
  <si>
    <t>Zadanie zrealizowano i zafakturowano. Wykonano: zamontowano na terenie zielonym 8 sztuk urzadzeń do ćwiczeń siłowych na wolnym powietrzu oraz tablicę z regulaminem (m. in. rower, wahadło, narciarz, biegacz, wiosło, etc.)</t>
  </si>
  <si>
    <t xml:space="preserve">Zadanie zrealizowano i zafakturowano. Wykonano: nasadzenie drzew i krzewów  (ul. Medweckiego 6 sztuk drzew, zieleniec przy SP nr 155 3 sztuki drzew i 42 sztuki krzewów; zieleniec przy bloku 26 w os. 2 Pułku Lotniczego 8 sztuk drzew). </t>
  </si>
  <si>
    <t xml:space="preserve">Zadanie zrealizowano i zafakturowano. Wykonano: zdemontowano istniejące bramki (2 sztuki) ze względu bezpieczeństwa i zamontowano nowe, metalowe bramki (2 sztuki) z koszami do koszykówki. </t>
  </si>
  <si>
    <t>Zadanie zrealizowano i zafakturowano. Wykonano: wywieziono ok. 50 m3 gruzu po płytach betonowych oraz pojedyncze płyty żelbetowe uprzednio pokruszone mechanicznie.</t>
  </si>
  <si>
    <t>Zadanie zrealizowano i zafakturowano. Wykonano: montaż urządzeń zabawowych dla najmłodszych dzieci (piaskownica, tablica do rysowania, domek dla malucha, etc.).</t>
  </si>
  <si>
    <t>Organizacja cyklu koncertów, w ramach którego: w kwietniu w hali Expo Kraków miał miejsce 50ty koncert (wystąpiła Maryla Rodowicz i Marcin Daniec), w paźdzerniku- koncert Z dawna Polski Tyś Królową w kościele pw. Batki Bożej Nieustającej Pomocy (os. Bohaterów Września 33), wystapili chór Sanktuarium św. Jana Pawła II w Krakowie NIE LĘKAJCIE SIĘ,  Bocheński Chór Kameralny Salt Singers, Chór i Orkiestra Krakowska Młoda Filharmonia z towarzyszeniem solistek: Alicji Ciesielczuk-sopran i Magdy Niedbały-Solarz - mezosopran; w grudniu koncert Piosenki Świąteczne w kosciele Matki Bożej Pocieszenia (ul. Bulwarowa 15a), wystapił Robert Kasprzyski z zespołem. Zadanie zostało zrealizowane.</t>
  </si>
  <si>
    <t>500 czy w opisie?</t>
  </si>
  <si>
    <t xml:space="preserve">Dla mieszkańców dzielnicy XIV zorganizowano wiosną i jesienią cykl zajęć fitness poprawiających kondycję fizyczną. Zadanie zostało zrealizowane. </t>
  </si>
  <si>
    <t>Dla dzieci ze szkół podstawowych zorganizowano halowy turniej piłkarski. Zadanie zostało zrealizowane.</t>
  </si>
  <si>
    <t>Dla seniorów z dzielnicy XIV w ciągu całego roku organizowano spotkania (świąteczne, wielkanocne), wyjścia do kina i teatru, wycieczkę do kopalni soli w Bochni. Zadanie zostało zrealizowane.</t>
  </si>
  <si>
    <t>Dla utrzymania w dobrym stanie społecznego ogrodu powstałego w os. Dywizjonu 303 w trakcie całego roku wykonano szereg prac związanych z jego pielęgnacją i dodatkowymi nasadzeniami. Prace te były realizowane w formie warsztatów ogrodniczych dla osób chcących przyczynić się do zachowania ogrodu w dobrym stanie oraz podniesienia swoich ogrodniczych umiejętności. Zadanie zostało zrealizowane.</t>
  </si>
  <si>
    <t>Dożynki w os. Łęg zostały zorganizowane we wrześniu, były to dożynki o zasięgu miejskim. W programie były występy ludowych zespołów amatorskich, prezentacja grup dożynkowych z tradycyjnymi wieńcami, lekcja śpiewania. Całość rozpoczął doyżnkowy korowód i polowa msza święta, a imprezę zakończyła zabawa taneczna. Zadanie zostało zrealizowane.</t>
  </si>
  <si>
    <t xml:space="preserve">Osoby niewidome otrzymały wsparcie finansowe i organizacyjne przy organizacji różnych okolicznościowych spotkań i imprez (w tym Dzień Białej Laski), a także specjalnie dla nich w tym roku w Klubie 303 były prowadzone gimnastyczne warsztaty usprawniająco-poprawiające sylwetkę, wzmocnienie mięśni, pozwalające na relaks i poprawiające ogólne samopoczucie (zakupiono również odpowiedni sprzęt gimnastyczny). Zadanie zostało zrealizowane. </t>
  </si>
  <si>
    <t xml:space="preserve">Zajęcia dla małych dzieci wraz z opiekunami; muzyczne, manualne, ruchowe zabawy integracyjne. Zadanie zostalo zrealizowane. </t>
  </si>
  <si>
    <t xml:space="preserve">Zakupiono nagrody dla dzieci uczestniczących w turnieju szachowym. Zadanie zostało zrealizowane. </t>
  </si>
  <si>
    <t xml:space="preserve">Dla dzieci z ubogich rodzin mieszkających w dzielnicy XIV kupiono mikołajowe paczki. Zadanie zostało zrealizowane. </t>
  </si>
  <si>
    <t>Zorganizowano wieczerzę wigilijną (zakupiono potrawy) dla osób samotnych i ubogich mieszkających w dzielnicy XIV. Zadanie zostało zrealizowane.</t>
  </si>
  <si>
    <t>Zakupiono nagrody dla uczestników konkursu na najładniejszą palmę wielkanocną. Zadanie zostało zrealizowane.</t>
  </si>
  <si>
    <t xml:space="preserve">Dla pań z dzielnicy XIV jesienią zostały zorganizowane zajęcia z samoobrony. Zadanie zostało zrealizowane. </t>
  </si>
  <si>
    <t>Dofinansowanie zajęć dla dzieci organizowanych w Klubie 303 podczas ferii zimowych i wakacji - zakupiono materiały dydaktyczne i artykuły sportowe do zajęć. Zadanie zostało zrealizowane.</t>
  </si>
  <si>
    <t>W pomieszczeniach znajdujących się na najniższej kondygnacji Klubu 303 przeprowadzono prace odnawiające salki i zakupiono sprzęt niezbędny do prowadzenia działalności (m.in. sprzęt nagłaśniający, lustra do sali tanecznej, szafy do przechowywania, dywan, odkurzacz). Zadanie zostało zrealizowane.</t>
  </si>
  <si>
    <t>Zorganizowano warsztaty edukacyjne, warszaty ceramiczne, imprezę mikołajową. Zadanie zostało zrealizowane.</t>
  </si>
  <si>
    <t>Dla harcerzy kupiono nagrody, koszulki, materiały do organizacji spotkania. Zadanie zostało zrealizowane.</t>
  </si>
  <si>
    <t>W Klubie 303 zorganizowano różne imprezy: dwudniowy Festiwal Rozmaitości (warsztaty improwizacji, zumba, flamenco, warsztaty koronczarskie, malarskie, cyrkowe, legorobotyka, animacje poklatkowe). Cyrkawarnia (z cyrkiem jako głównym tematem). Dofinansowano międzynarodowy projekt teatralno-cyrkowy MOON. Zadanie zostało zrealizowane.</t>
  </si>
  <si>
    <t>Zakupiono usługę ochroniarską  podczas koncertu NHDN Alternative. Zadanie zostało zrealizowane.</t>
  </si>
  <si>
    <t xml:space="preserve">Środki wydatkowano na poczęstunek dla uczestników konkursu podczas finału. </t>
  </si>
  <si>
    <t>Środki wydatkowano na poczęstunek dla uczestników projektu.</t>
  </si>
  <si>
    <t>Koszulki z nadrukiem, obsługa imprezy, wynajem sceny. Zadanie zostało zrealizowane.</t>
  </si>
  <si>
    <t>Dofinansowanie przeznaczono na działalność bieżącą ZPiT Nowa Huta w tym na wypłatę honorarium za opracowanie choreografii, aranżacji wokalnej i muzycznej do Suity pieśni i tańców krzczonowskich, zaborowskich oraz z regionu Mazowsza.</t>
  </si>
  <si>
    <t>Zawarto i zrealizowano umowę W/I/2982/IT/32/2017 z dn. 20.09.2017 r. na świadczenie usługi bezprzewodowego dostępu do internetu w rejonach "Parku Skalskiego" i "Ogrodu Doświadczeń".</t>
  </si>
  <si>
    <t>Zakupiono materiały eksploatacyjne na podstawie umowy W/I/3196/IT/39/2017.</t>
  </si>
  <si>
    <t>Dokonano naprawy drukarki.</t>
  </si>
  <si>
    <t>Zakupiono: pas bojowy, zatrzaśnik, materiały medyczne, uprząsz, kaski, trójkąt ewakuacyjny. Zadanie zakończono.</t>
  </si>
  <si>
    <t>6 kwietnia 2017 r. podpisano porozumienie z KWP nr W/V/43/OC/1/2017 na mocy, którego przekazano środki finansowe na realizację zadania w zakresie dodatkowych patroli.</t>
  </si>
  <si>
    <t>6 kwietnia 2017 r. podpisano porozumienie z KWP nr W/V/43/OC/1/2017 na mocy, którego przekazano środki finansowe na realizację zadania w zakresie zakupu materiałów profilaktycznych.</t>
  </si>
  <si>
    <t>6 kwietnia 2017 r. podpisano porozumienie z KWP nr W/V/43/OC/1/2017 na mocy, którego przekazano środki finansowe na realizację zadania w zakresie zakupu latarek patrolowych.</t>
  </si>
  <si>
    <t>Zakupiono samochód Dacia Duster 1 sztukę. Zadanie współfansowane z Dzielnicą XV, XVI, XVIII.</t>
  </si>
  <si>
    <r>
      <rPr>
        <b/>
        <sz val="10"/>
        <color indexed="8"/>
        <rFont val="Times New Roman"/>
        <family val="1"/>
      </rPr>
      <t>Zadanie zrealizowano.</t>
    </r>
    <r>
      <rPr>
        <sz val="10"/>
        <color indexed="8"/>
        <rFont val="Times New Roman"/>
        <family val="1"/>
      </rPr>
      <t xml:space="preserve"> Wykonano:
- montaż obrzeży - 35,6 mb
- ułożenie krawężników - 50,2 mb
- kostka bet. grafit - 18,25 m2
- kostka bet. Szara 13,4 m2
- kostka bet. czerowna - 41 m2
- przekładka kostki - 51.8 m2
- masa bit. - 13 m2
- założenie trawnika  - 13 ,2 m2
</t>
    </r>
  </si>
  <si>
    <r>
      <t xml:space="preserve">Zadanie wprowadzone do WPF/WPI na lata  2017/2018. 
2017 r. - 35 500,00 zł
2018 r. - 25 000,00 zł.
Realizacja w cyklu dwuletnim jako "zaprojektuj i zbuduj"
 </t>
    </r>
    <r>
      <rPr>
        <b/>
        <sz val="10"/>
        <rFont val="Times New Roman"/>
        <family val="1"/>
      </rPr>
      <t xml:space="preserve">W 2017 r. </t>
    </r>
    <r>
      <rPr>
        <sz val="10"/>
        <rFont val="Times New Roman"/>
        <family val="1"/>
      </rPr>
      <t>z</t>
    </r>
    <r>
      <rPr>
        <b/>
        <sz val="10"/>
        <rFont val="Times New Roman"/>
        <family val="1"/>
      </rPr>
      <t>adanie zrealizowano</t>
    </r>
    <r>
      <rPr>
        <sz val="10"/>
        <rFont val="Times New Roman"/>
        <family val="1"/>
      </rPr>
      <t xml:space="preserve">  w zakresie opracowania dokumentacji projektowej oraz rozpoczęto realizcję zadania.
 </t>
    </r>
  </si>
  <si>
    <r>
      <rPr>
        <b/>
        <sz val="10"/>
        <color indexed="8"/>
        <rFont val="Times New Roman"/>
        <family val="1"/>
      </rPr>
      <t xml:space="preserve"> Zadanie zrealizowane.</t>
    </r>
    <r>
      <rPr>
        <sz val="10"/>
        <color indexed="8"/>
        <rFont val="Times New Roman"/>
        <family val="1"/>
      </rPr>
      <t xml:space="preserve"> Wykonano:
- opracowano dokumentacje projektową
- słup oświetleniowy - 3 szt
- rury osłonowe - 92 m
- kabel 4 x16 mm2 - 92 m
- oprawy  schreder - 3 szt</t>
    </r>
  </si>
  <si>
    <r>
      <rPr>
        <b/>
        <sz val="10"/>
        <color indexed="8"/>
        <rFont val="Times New Roman"/>
        <family val="1"/>
      </rPr>
      <t>Zadanie zrealizowano</t>
    </r>
    <r>
      <rPr>
        <sz val="10"/>
        <color indexed="8"/>
        <rFont val="Times New Roman"/>
        <family val="1"/>
      </rPr>
      <t xml:space="preserve"> . Wykonano:
- montaż krawężników - 38,50 mb
- montaż obrzeży - 37 mb
-masa bitumiczna - 21,65 m2
- chodnik betonowy - 49,60 m2
- kostka integracyjna - 7,70 m2
- ciek wodny - 2,90 mb
- znaki D-6 - 2 szt
- linia P-10 - 1 szt
- rury osłonowe - 40 mb
- kabel YAKXS 5 x 35 - 40 mb
- słup z wysięgnikiem - 1 kpl
- oprawa led - 2 szt</t>
    </r>
  </si>
  <si>
    <r>
      <rPr>
        <b/>
        <sz val="10"/>
        <color indexed="8"/>
        <rFont val="Times New Roman"/>
        <family val="1"/>
      </rPr>
      <t>Zadanie zrealizowano</t>
    </r>
    <r>
      <rPr>
        <sz val="10"/>
        <color indexed="8"/>
        <rFont val="Times New Roman"/>
        <family val="1"/>
      </rPr>
      <t>.Wykonano:
- rozbiórka chodnika z płyt bet. 50/50 - 84,50 m2
- rozbiórka obrzeży 8/30 - 32,80 mb
- rozbiórka krawężnika 15/30 - 27,00 mb
- ułożenie obrzeży trawnikowych - 8x30 -32,80 mb
- krawężnik bet 15/30 - 27,00 mb
- nawierzchnia z kostki  bet,szarej - 8 cm - 90,08 m2
- chodnik z kostki betonowej 6 cm ( odzysk)  -  5,00 m2</t>
    </r>
    <r>
      <rPr>
        <sz val="10"/>
        <color indexed="10"/>
        <rFont val="Times New Roman"/>
        <family val="1"/>
      </rPr>
      <t xml:space="preserve">
</t>
    </r>
  </si>
  <si>
    <r>
      <rPr>
        <b/>
        <sz val="10"/>
        <color indexed="8"/>
        <rFont val="Times New Roman"/>
        <family val="1"/>
      </rPr>
      <t>Zadanie zrealizowano</t>
    </r>
    <r>
      <rPr>
        <sz val="10"/>
        <color indexed="8"/>
        <rFont val="Times New Roman"/>
        <family val="1"/>
      </rPr>
      <t>. Wykonano:
- frezowanie naw. bitum  - 464,88 m2
- nawierzchnia z mieszanek bit - 464,88 m2</t>
    </r>
  </si>
  <si>
    <r>
      <rPr>
        <b/>
        <sz val="10"/>
        <color indexed="8"/>
        <rFont val="Times New Roman"/>
        <family val="1"/>
      </rPr>
      <t>Zadanie zrealizowano.</t>
    </r>
    <r>
      <rPr>
        <sz val="10"/>
        <color indexed="8"/>
        <rFont val="Times New Roman"/>
        <family val="1"/>
      </rPr>
      <t xml:space="preserve"> Wykonano:
- rozbiórka chodnika z płyt betonowych 50/50 - 132,90 m2
- rozbiórka obrzeży - 90,70 mb
- rozbiórka krawężnika  bet. - 118,90 mb
- rozbiórka bet. - 70 m2
- ułożenie obrzeża  8x30 - 82,70 mb
- krawężnik betonowy - 126,9 mb
- nawierzchnia z  kostki bet. szarej , 8 cm - 129,20 m2
- nawierzchnia z  kostki bet. kolorowej, 8 cm - 41,80  m2
- chodnik z kostki  bet (odzysk) - 13,50 m2
- nawierzchnia z asfaltu - 120,90 m2</t>
    </r>
  </si>
  <si>
    <r>
      <rPr>
        <b/>
        <sz val="10"/>
        <color indexed="8"/>
        <rFont val="Times New Roman"/>
        <family val="1"/>
      </rPr>
      <t xml:space="preserve"> Zadanie zrealizowane </t>
    </r>
    <r>
      <rPr>
        <sz val="10"/>
        <color indexed="8"/>
        <rFont val="Times New Roman"/>
        <family val="1"/>
      </rPr>
      <t xml:space="preserve"> na kwotę 92 287,58 zł </t>
    </r>
    <r>
      <rPr>
        <sz val="10"/>
        <rFont val="Times New Roman"/>
        <family val="1"/>
      </rPr>
      <t>(w tym środki utrzymaniowe 287,58 zł )</t>
    </r>
    <r>
      <rPr>
        <sz val="10"/>
        <color indexed="8"/>
        <rFont val="Times New Roman"/>
        <family val="1"/>
      </rPr>
      <t>. Wykonano:
- rozbiórka chodnika z płyt betonowych  50/50 - 416,30 m2
- rozbiórka obrzeży 8/30  - 208,10 mb
- rozbiórka krawężnika  15/30 - 216,60 mb
- rozbiórka ścieku ulicznego z kostki - 216,60 mb
- rozebranie nawierzchni bitumicznych - 94,70  m2
- ułożenie obrzeży trawnikowych 8x30- 208,10 mb
- ułożenie  krawężnika bet. 15/30 - 208,60 mb
- chodnik z kostki bet. 6 cm - 416,30 m2
- nawierzchnia z asfaltu  lanego - 94,70 m2</t>
    </r>
  </si>
  <si>
    <r>
      <t xml:space="preserve">W 2017 r. został opracowany   pfu  zgodnie z którym koszt realizacji zadania wynosi ok. 140 000,00 zł.
 Zadanie wprowadzone do </t>
    </r>
    <r>
      <rPr>
        <sz val="10"/>
        <rFont val="Times New Roman"/>
        <family val="1"/>
      </rPr>
      <t xml:space="preserve"> WPF/WPI  na lata 2017-2018</t>
    </r>
    <r>
      <rPr>
        <sz val="10"/>
        <color indexed="10"/>
        <rFont val="Times New Roman"/>
        <family val="1"/>
      </rPr>
      <t xml:space="preserve">  </t>
    </r>
    <r>
      <rPr>
        <sz val="10"/>
        <rFont val="Times New Roman"/>
        <family val="1"/>
      </rPr>
      <t>jako:</t>
    </r>
    <r>
      <rPr>
        <sz val="10"/>
        <color indexed="10"/>
        <rFont val="Times New Roman"/>
        <family val="1"/>
      </rPr>
      <t xml:space="preserve">
</t>
    </r>
    <r>
      <rPr>
        <sz val="10"/>
        <rFont val="Times New Roman"/>
        <family val="1"/>
      </rPr>
      <t>2017 - 3600 zł - rozpoczęcie opracowania dokument.
2018 - 138 000 zł - zakończenie dokumentacji + realizacja.</t>
    </r>
  </si>
  <si>
    <r>
      <rPr>
        <b/>
        <sz val="10"/>
        <rFont val="Times New Roman"/>
        <family val="1"/>
      </rPr>
      <t xml:space="preserve">Zadanie zrealizowano. </t>
    </r>
    <r>
      <rPr>
        <sz val="10"/>
        <rFont val="Times New Roman"/>
        <family val="1"/>
      </rPr>
      <t>Wykonano:
- czyszczenie mechaniczne - 191,36 m2
- nawierzchnia z asfaltu lanego - 191,36 m2</t>
    </r>
  </si>
  <si>
    <r>
      <t xml:space="preserve"> </t>
    </r>
    <r>
      <rPr>
        <b/>
        <sz val="10"/>
        <rFont val="Times New Roman"/>
        <family val="1"/>
      </rPr>
      <t xml:space="preserve">Zadanie zrealizowane. </t>
    </r>
    <r>
      <rPr>
        <sz val="10"/>
        <rFont val="Times New Roman"/>
        <family val="1"/>
      </rPr>
      <t xml:space="preserve">Wykonano:
- rozbiórka chodnika z płyt betonowych 50/50 - 287,82 m2
- rozbiórka obrzeży - 8/30 - 246,20 mb
- ułożenie obrzeży trawnikowych 8x3 - 246,20 mb
- chodnik z kostki betonowej  gr 6 cm - 279,07 m2
- chodnik z płyt  bet. 50/50/7 - 2,50 m2
- chodnik z kostki bet. gr 6 cm (odzysk) - 1,50 m2
</t>
    </r>
  </si>
  <si>
    <r>
      <rPr>
        <b/>
        <sz val="10"/>
        <color indexed="8"/>
        <rFont val="Times New Roman"/>
        <family val="1"/>
      </rPr>
      <t>Zadanie zrealizowano</t>
    </r>
    <r>
      <rPr>
        <sz val="10"/>
        <color indexed="8"/>
        <rFont val="Times New Roman"/>
        <family val="1"/>
      </rPr>
      <t xml:space="preserve"> na kwotę 62 227,60 zł ( w tym środki utrzymaniowe ZIKiT 2 227,60 zł). Wykonano:
- rozbiórka chodnika z płyt bet. 50/50 - 383,00 m2
- rozbiórka obrzeży - 267,60 mb
- rozbiórka krawężnika - 24,70 mb
- rozebranie nawierzchni bitum. - 28,90 m2
- ułożenie obrzeży  traw. - 258,60 mb
- krawężnik bet 15/30 - 33,70 mb
- nawierzchnia z kostki  bet. szarej 8 cm - 383,00 zł m2
- nawierzchnia  z kostki bet. kolor. 8 cm - 22,60 m2
- nawierzchnia z asfaltu - 6,30 m2
</t>
    </r>
  </si>
  <si>
    <r>
      <rPr>
        <b/>
        <sz val="10"/>
        <rFont val="Times New Roman"/>
        <family val="1"/>
      </rPr>
      <t xml:space="preserve">Zadanie zrealizowane. </t>
    </r>
    <r>
      <rPr>
        <sz val="10"/>
        <rFont val="Times New Roman"/>
        <family val="1"/>
      </rPr>
      <t>Wykonano:
- rozbiórka chodnika z płyt bet. 50/50 - 334,50 m2
-rozbiórka obrzeży  8/30 -263,00 mb
- rozbiórka krawężnika  - 47,2 mb 
- rozebranie nawierzchni bitum.   - 13,87 m2
- ułożenie obrzeży - 8x30 - 263,00 mb
- ułożenie krawężnika - 47,2 mb
- nawierzchnia z kostki bet.  szarej 8 cm - 270,30 m2
- nawierzchnia z kostki bet , kolor. 8 cm - 37,3 m2
- nawierzchnia z asfaltu - 13,87 m2</t>
    </r>
  </si>
  <si>
    <r>
      <rPr>
        <b/>
        <sz val="10"/>
        <rFont val="Times New Roman"/>
        <family val="1"/>
      </rPr>
      <t>Zadanie  zrealizowano .</t>
    </r>
    <r>
      <rPr>
        <sz val="10"/>
        <rFont val="Times New Roman"/>
        <family val="1"/>
      </rPr>
      <t xml:space="preserve"> Wykonano:
- rozbiórka płyt bet. 50x50 - 364,40 m2
-rozbiórka obrzeży - 358,00 mb
- ułożenie obrzeży 8x30 - 358,00 mb
- krawężnik bet 15/30 - 4 mb
- chodnik z kostki bet.  6 cm - 368,40 m2</t>
    </r>
  </si>
  <si>
    <r>
      <rPr>
        <b/>
        <sz val="10"/>
        <rFont val="Times New Roman"/>
        <family val="1"/>
      </rPr>
      <t xml:space="preserve"> Zadanie zrealizowano</t>
    </r>
    <r>
      <rPr>
        <sz val="10"/>
        <rFont val="Times New Roman"/>
        <family val="1"/>
      </rPr>
      <t>. Wykonano:
- obrzeża - 19,50 mb
- krawężniki - 22,05 mb
- kostka - 59,05 m2
- kostka  integracyjna - 2, 55 m2
- malowanie płyt bet. -  15,80 m2
- założenie zieleńca - 48,85 m2
- znaki drogowe - 2 szt
- stojaki na rowery - 3 szt</t>
    </r>
  </si>
  <si>
    <t xml:space="preserve">Wprowadzono zadanie  do Budżetu Miasta oraz WPF/WPI jako zadanie dwuletnie:
2017 -roz.oprac. doku. 4 310,00 zł
2018 r. - zakoń  + real.  30 000,00 zł                   (zaprojektuj i zbuduj)
W 2017 zostal opracowany program funkcjonalno użytkowy na kwotę 4 305,00 zł
  Ogłoszono kilkakrotnie  informację o pozyskanie  ofert w trybie bezprzetargowym na wyłonie nie wykonacwcy zadania - brak ofert.
</t>
  </si>
  <si>
    <r>
      <rPr>
        <b/>
        <sz val="10"/>
        <color indexed="8"/>
        <rFont val="Times New Roman"/>
        <family val="1"/>
      </rPr>
      <t xml:space="preserve">Zadanie zrealizowano. </t>
    </r>
    <r>
      <rPr>
        <sz val="10"/>
        <color indexed="8"/>
        <rFont val="Times New Roman"/>
        <family val="1"/>
      </rPr>
      <t>Wykonano:
- rozbiórka chodnika z płyt bretonowych 50/50 - 184,35 m2
- rozbiórka obrzeży  - 247,40 mb
- ułożenie obrzeży trawnikowych  8 x 30 - 224,10 mb
- chodnik z kostki betonowej 6 cm - 184,35 m2</t>
    </r>
  </si>
  <si>
    <r>
      <rPr>
        <b/>
        <sz val="10"/>
        <rFont val="Times New Roman"/>
        <family val="1"/>
      </rPr>
      <t xml:space="preserve">Zadanie zrealizowano </t>
    </r>
    <r>
      <rPr>
        <sz val="10"/>
        <rFont val="Times New Roman"/>
        <family val="1"/>
      </rPr>
      <t xml:space="preserve">w zakresie  remontu postojowych w ul. Hynka od nr 11 do Braci Schindlerów( obustronnie) wraz z nawierzrzchnią ulicy. Wykonano;
- rozbiórka chodnika z płyt bet - 61,45 m2
- rozbiórka obrzeży - 68 mb
- rozbiórka krawężnika - 40,90 mb
- ułożenie obrzeża traw. - 36,9 mb
- krawężnik bet. - 50,90 mb
- chodnik z płyt bet. - 10,35 m2
- nawierzchnia z asfaltu lanego - 585,06 m2
- nawierzchnia z miesz bitum. - 922,90 m2
- regulacja pion studz. - 16 szt
</t>
    </r>
  </si>
  <si>
    <r>
      <rPr>
        <b/>
        <sz val="10"/>
        <rFont val="Times New Roman"/>
        <family val="1"/>
      </rPr>
      <t>Zadanie zrealizowano.</t>
    </r>
    <r>
      <rPr>
        <sz val="10"/>
        <rFont val="Times New Roman"/>
        <family val="1"/>
      </rPr>
      <t xml:space="preserve">Wykonano:
-rozebranie podbudowy  bet. - 132,00  m2
-ułożenie chodnika z kostki bet 6 cm - 13,80 m2
- obrzeża trawnikowe - 15,20 mb
-nawierzchnia z mieszanej bit - 300,00 m2
 </t>
    </r>
    <r>
      <rPr>
        <sz val="10"/>
        <color indexed="10"/>
        <rFont val="Times New Roman"/>
        <family val="1"/>
      </rPr>
      <t xml:space="preserve"> </t>
    </r>
  </si>
  <si>
    <r>
      <rPr>
        <b/>
        <sz val="10"/>
        <color indexed="8"/>
        <rFont val="Times New Roman"/>
        <family val="1"/>
      </rPr>
      <t xml:space="preserve"> Zadanie zrealizowane</t>
    </r>
    <r>
      <rPr>
        <sz val="10"/>
        <color indexed="8"/>
        <rFont val="Times New Roman"/>
        <family val="1"/>
      </rPr>
      <t xml:space="preserve"> w 2017 r. w zakresie opracowania I etapu dokumentacji projektowej.
Zadanie  wprowadzone  do WPF/WPI na lata 2017- 2018.
2017 - 6 700,00 zł (rozpoczęcie opracowania dokumentacji)
2018 - 83 300,00 zł ( zakończenie opracowania dok + realizacja)
Koszt całkowity opracowania dokumetacji kwotę  16 400,00 zł z terminem realizacji :
 etap 1. - 31.10.2017 r. -  6 700,00 zł
etap 2 - 30.03.2018 r. -   9 700,00 zł</t>
    </r>
  </si>
  <si>
    <r>
      <rPr>
        <b/>
        <sz val="10"/>
        <rFont val="Times New Roman"/>
        <family val="1"/>
      </rPr>
      <t>Zadanie zrealizowano</t>
    </r>
    <r>
      <rPr>
        <sz val="10"/>
        <rFont val="Times New Roman"/>
        <family val="1"/>
      </rPr>
      <t xml:space="preserve"> w zakresie czasowego  posadowienia 2 szt toalet wraz z serwisowaniem do 10.12.2017 r.</t>
    </r>
  </si>
  <si>
    <t>Zakupiono materiały promocyjne z logo dzielnicy.</t>
  </si>
  <si>
    <t>W ramach zadania zapłacono za użytkowanie lokalu Rady i Zarzadu Dzielnicy XIV Czyżyny (opłata eksploatacyjna za XII 2017 r.)</t>
  </si>
  <si>
    <t>W ramach zadania zakupiono niszczarkę dla potrzeb Rady i Zarządu Dzielnicy XIV Czyżyny.</t>
  </si>
  <si>
    <t xml:space="preserve">Zakup tablic interaktywnych dla Samorzadowego Przedszkola nr 110: filia ul. Ciepłownicza 34 i al. Jana Pawła II 80 </t>
  </si>
  <si>
    <t>Zadanie zrealizowano i zafakturowano. Wykonano: opracowano projekt techniczny na modernizację przedmiotowego ogródka; zamontowano urządzenie zabawowe (wspinaczkowy labirynt ze zjeżdżalnią DIKULO 8) na terenie placu zabaw.</t>
  </si>
  <si>
    <t>Wykonano sezonowy montaż i demontaż hali pneumatycznej nad boiskiem ZSO nr 14, transport zdemontowanej hali pneumatycznej samochodem ciężarowym HDS z boiska wielofunkcyjnego do garażu szkoły. Zakupiono sprżet sportowy (m.in. piłki, rakiety, materace).</t>
  </si>
  <si>
    <t xml:space="preserve">Wykonano modernizację ogrodzenia boiska sportowego-panele ogrodzeniowe:                 - panel Vega 2D 2030x2500 mm - 46 sztuk;                 - panel Vega 2D 1030x2500 m m - 23 sztuk;          - furtka dwuskrzydłowa - 1 komplet.     </t>
  </si>
  <si>
    <t xml:space="preserve">Wyremontowano dach. Zadanie zostało rozliczone na kwotę 49 988,83 zł, jednak z uwagi na centralizację podatku VAT w GMK został on odliczony w kwocie 7,74 zł. </t>
  </si>
  <si>
    <t>Wymieniono stolarkę okienną. Zadanie zostało rozliczone na kwotę 60 000 zł, jednak z uwagi na centralizację podatku VAT w GMK został on odliczony w kwocie 336,58 zł.</t>
  </si>
  <si>
    <t>Wymieniono okna na klatkach schodowych i w ramach innych prac remontowych wyremontowano łazienkę.</t>
  </si>
  <si>
    <t>Wymalowano lamperie w kuchni.</t>
  </si>
  <si>
    <t>Zadanie zrealizowano i zafakturowano. Wykonano: opracowano projekt na budowę chodnika oraz zbudowano chodnik o szerokości 1,50 m z kostki brukowej, nadzór inwestorski nad inwestycją.</t>
  </si>
  <si>
    <t>Zadanie zrealizowano i zafakturowano. Wykonano: opracowano projekt na modernizację przedmiotowego  ogródka          (8 364 zł) oraz zamontowano urządzenie zabawowe "poligon" (31 316 zł).</t>
  </si>
  <si>
    <t>W czerwcu zorganizowano dużą rodzinną imprezę plenerową z wieloma atrakcjami dla dzieci i dorosłych: zamki dmuchane, ścianka wspinaczkowa, eurobunge, wielkie piłkażyki z komentatorem na żywo, bajkową strefę zabaw, konkursem dla modelarzy, warsztatami cyrkowymi, występami amatorskich zespołów dziecięcych i młodzieżowych, pokazami w wykonaniu Straży Miejskiej, hapkido MOO HAK KWAN, Street Workout Kraków oraz KS Capoeira Brasil. Cyrkowcy z Klubu 303 zaprezentowali teatralno-ogniowe show. Zadanie zostało zrealizowane.</t>
  </si>
  <si>
    <t>Niepodległościowy festiwal szachowy</t>
  </si>
  <si>
    <t>Zakupiono materiały profilaktyczne (długopisy z numerem alarmowym, kamizelki odblaskowe). Zadanie zostalo zrealizowane.</t>
  </si>
  <si>
    <t>W ramach działań profilaktycznych:                         1) zakupiono nagrody na konkursy i turnieje (sprzęt sportowy);                                                         2) zakupiono materiały profilalktyczne (opaski odblaskowe).                                                      Zadanie zostało zrealizowane.</t>
  </si>
  <si>
    <t>Wynagrodzenie osob. prac. - dodatkowe patrole (ZUS, Fundusz Pracy). Zadanie zostało zrealizowane.</t>
  </si>
  <si>
    <t>Wymieniono posadzki na korytarzach i salach dydaktycznych oraz wymalowano klatki schodowe. Zadanie zostało rozliczone na kwotę 84 058 zł, jednak z uwagi na centralizację podatku VAT w GMK został on odliczony w kwocie 33, 13 zł.</t>
  </si>
  <si>
    <t xml:space="preserve">Projekt socjalny "Przyjaciele" realizowany był od kwietnia do grudnia 2017 r. Odbiorcami projektu były osoby niepełnosprawne oraz ich rodziny. Projekt zakładał realizację 3 przedsięwzięć:                                                                I. Organizacja spotkań grup samopomocowych oraz edukacyjno- wspierających, podczas których uczestnicy projektu omawiali bieżące sprawy grupy, potrzeby, problemy, sposoby ich rozwiązania oraz nowości, zapowiedzi i możliwości różnorodnych form spędzania oraz organizowania czasu wolnego. W każdym spotkaniu uczestniczyło ok. 10 osób. W okresie od kwietnia do grudnia odbyło się 9 spotkań.                                                                  II. W październiku 2017 r. zorganizowano wyjazd integracyjny do Dębna, który obejmował zwiedzanie z przewodnikiem zamku, przejazd do Bochni, gdzie zwiedzono wystawę motyli oraz był poczęstunek. W wycieczce wzięło udział 13 uczestników projektu.                                                               III. W grudniu 2017 r. zorganizowano spotkanie bożonarodzeniowe. W spotkaniu uczestniczyło 13 osób. </t>
  </si>
  <si>
    <t>Zadanie zostało zrealizowane w ramach projektu socjalnego. Odbyły się dwa spotkania profikatyczne skierowane  do 60 uczniów III klas Gimnazjum nr 36 w Krakowie. Efektem było nabycie przez młodzież wiedzy z zakresu HIV/AIDS. Wydatkowano kwotę 1 500 zł na zakup książek edukacyjnych i materiałów biurowych.</t>
  </si>
  <si>
    <r>
      <t xml:space="preserve">1) Fundacja CZYŻYNY - realizacja zadania publicznego pn. Lato na boisku 2017.                 W zajęciach prowadzonych z koszykówki, piłki nożnej, siatkówki i badmintona uczestniczyło 46 dzieci. Umowa została rozliczona. </t>
    </r>
    <r>
      <rPr>
        <b/>
        <sz val="10"/>
        <color indexed="8"/>
        <rFont val="Times New Roman"/>
        <family val="1"/>
      </rPr>
      <t xml:space="preserve">(3 000 zł) </t>
    </r>
    <r>
      <rPr>
        <sz val="10"/>
        <color indexed="8"/>
        <rFont val="Times New Roman"/>
        <family val="1"/>
      </rPr>
      <t xml:space="preserve">                    2) Klub Sportowy ALBERTUS - realizacja zadania publicznego pn. Turniej z okazji Dnia Dziecka- Dzielnica XIV. W turnieju wzięły udział dzieci w wieku 8-10 lat - w sumie 150 zawodników i 10 trenerów. Umowa została rozliczona.</t>
    </r>
    <r>
      <rPr>
        <b/>
        <sz val="10"/>
        <color indexed="8"/>
        <rFont val="Times New Roman"/>
        <family val="1"/>
      </rPr>
      <t xml:space="preserve"> ( 4 000 zł)        </t>
    </r>
    <r>
      <rPr>
        <sz val="10"/>
        <color indexed="8"/>
        <rFont val="Times New Roman"/>
        <family val="1"/>
      </rPr>
      <t xml:space="preserve">                                                          3) Klub Sportowy ALBERTUS - realizacja zadania publicznego pn. Turniej z okazji Mikołajek. W turnieju wzięły udział dzieci w wieku 12-14 lat - 150 zawodników i 10 trenerów. Umowa została rozliczona. </t>
    </r>
    <r>
      <rPr>
        <b/>
        <sz val="10"/>
        <color indexed="8"/>
        <rFont val="Times New Roman"/>
        <family val="1"/>
      </rPr>
      <t xml:space="preserve">(3 000 zł) </t>
    </r>
  </si>
  <si>
    <r>
      <rPr>
        <b/>
        <sz val="10"/>
        <color indexed="8"/>
        <rFont val="Times New Roman"/>
        <family val="1"/>
      </rPr>
      <t xml:space="preserve">Zadanie zrealizowano </t>
    </r>
    <r>
      <rPr>
        <sz val="10"/>
        <color indexed="8"/>
        <rFont val="Times New Roman"/>
        <family val="1"/>
      </rPr>
      <t xml:space="preserve"> w zakresie wymiany tablicy przy ul. Kremskiego.</t>
    </r>
  </si>
  <si>
    <t>Zrealizowano zadanie w zakresie publikacji kolumny Głos Czyżyn w GŁOS Tygodnik Nowohucki</t>
  </si>
  <si>
    <t>W ramach zadania zapłacono za użytkowanie lokalu Rady i Zarządu Dzielnicy XIV Czyżyny (energia elektr. za VI, VIII 2017 r. oraz c.o., woda za X, XI, XII 2017 r.)</t>
  </si>
  <si>
    <t xml:space="preserve">W ramach realizacji zadania pomocą w formie zasiłku celowego lub celowego specjalnego objęto 8 rodzin, w tym 9 dzieci. Średnia wysokość zasiłku na dziecko wyniosła 1.111 zł. </t>
  </si>
  <si>
    <r>
      <rPr>
        <sz val="10"/>
        <rFont val="Times New Roman"/>
        <family val="1"/>
      </rPr>
      <t>Zadanie wprowadzone  do WPF/WPI na lata 2017-2018 jako:
 - projekt 19 300,00 zł  (2017 r.)
- realizacja – 180 000,00 zł  (2018 r.)
 Roztrzygnięto przetarg na kwotę 19 300,00 zł z terminem realizacji 28.12.2017 r. w zakresie opracowania dokumentacji.  
  Ze względu na brak uzyskania stosownych decyzji formalno-prawnych w roku 2017  środki finansowe w wysokości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19 300,00 zł  wprowadzone jako wydatki , które  niewygasają z upłwem roku 2017 r.  - do 30.06.2018 r. (Uchwała Nr XCI/2400/17 Rady Miasta Krakowa z dn. 20.12.2017 r.)
 </t>
    </r>
  </si>
  <si>
    <r>
      <t>Zadanie wprowadzone  do WPF/WPI na lata 2016-2017: 
2016  - 615,00 zł - opracowano PFU
2017 - projekt+realizacja - 33 000,00 zł
Zadanie w trakcie realizacji w trybie "zaprojektuj i zbuduj"  z terminem realizacji  28.12.2017 r.  
Ze względu na konieczność  pozyskania odstępstwa od budowy kanału technologicznego co wydłuża termin realizacji zadania, środki finansowe w wysokości 32 597,00 zł  zostały wprowadzone jako wydatki , które niewygasają z upłwem roku 2017 r - tj do 30.06.2018 r. (Uchwała Nr XCI/2400/17 Rady Miasta Krakowa z dn. 20.12.2017 r.)</t>
    </r>
    <r>
      <rPr>
        <sz val="10"/>
        <color indexed="10"/>
        <rFont val="Times New Roman"/>
        <family val="1"/>
      </rPr>
      <t xml:space="preserve">
</t>
    </r>
  </si>
  <si>
    <r>
      <rPr>
        <b/>
        <sz val="10"/>
        <rFont val="Times New Roman"/>
        <family val="1"/>
      </rPr>
      <t>Zadanie zrealizowano</t>
    </r>
    <r>
      <rPr>
        <sz val="10"/>
        <rFont val="Times New Roman"/>
        <family val="1"/>
      </rPr>
      <t>. Wykonano:
- rozbiórka chodnika z płyt betonowych 50/50 - 115,63 m2
- rozbiórka obrzeży - 76,60 m2
- ułozenie chodnika z kostki  be. 6 cm - 104,78 m2
- chodnik z płyt bet. -10,78 m2
- obrzeża trawnikowe - 76.60 mb</t>
    </r>
  </si>
  <si>
    <r>
      <rPr>
        <sz val="10"/>
        <color indexed="8"/>
        <rFont val="Verdana"/>
        <family val="2"/>
      </rPr>
      <t xml:space="preserve">   Przewodnicząca Rady i Zarządu
           Dzielnicy XIV Czyżyny  
                  Anna Moksa</t>
    </r>
    <r>
      <rPr>
        <sz val="11"/>
        <color theme="1"/>
        <rFont val="Czcionka tekstu podstawowego"/>
        <family val="2"/>
      </rPr>
      <t xml:space="preserve">
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</si>
</sst>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[$-415]d\ mmmm\ yyyy"/>
    <numFmt numFmtId="170" formatCode="#,##0.000"/>
  </numFmts>
  <fonts count="11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b/>
      <sz val="11"/>
      <name val="Czcionka tekstu podstawowego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30"/>
      <name val="Times New Roman"/>
      <family val="1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trike/>
      <sz val="10"/>
      <color indexed="10"/>
      <name val="Verdana"/>
      <family val="2"/>
    </font>
    <font>
      <b/>
      <strike/>
      <sz val="10"/>
      <color indexed="8"/>
      <name val="Verdana"/>
      <family val="2"/>
    </font>
    <font>
      <strike/>
      <sz val="10"/>
      <color indexed="8"/>
      <name val="Verdana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20"/>
      <color indexed="8"/>
      <name val="Czcionka tekstu podstawowego"/>
      <family val="2"/>
    </font>
    <font>
      <i/>
      <sz val="11"/>
      <color indexed="8"/>
      <name val="Czcionka tekstu podstawowego"/>
      <family val="0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u val="single"/>
      <sz val="10"/>
      <color indexed="8"/>
      <name val="Verdana"/>
      <family val="2"/>
    </font>
    <font>
      <b/>
      <sz val="11"/>
      <color indexed="10"/>
      <name val="Czcionka tekstu podstawowego"/>
      <family val="0"/>
    </font>
    <font>
      <sz val="11"/>
      <color indexed="8"/>
      <name val="Times New Roman"/>
      <family val="1"/>
    </font>
    <font>
      <sz val="10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i/>
      <sz val="10"/>
      <color indexed="8"/>
      <name val="Verdan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20"/>
      <color theme="1"/>
      <name val="Czcionka tekstu podstawowego"/>
      <family val="2"/>
    </font>
    <font>
      <i/>
      <sz val="11"/>
      <color theme="1"/>
      <name val="Czcionka tekstu podstawowego"/>
      <family val="0"/>
    </font>
    <font>
      <sz val="20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u val="single"/>
      <sz val="10"/>
      <color theme="1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b/>
      <sz val="11"/>
      <color rgb="FFFF0000"/>
      <name val="Czcionka tekstu podstawowego"/>
      <family val="0"/>
    </font>
    <font>
      <strike/>
      <sz val="10"/>
      <color theme="1"/>
      <name val="Verdana"/>
      <family val="2"/>
    </font>
    <font>
      <sz val="11"/>
      <color theme="1"/>
      <name val="Times New Roman"/>
      <family val="1"/>
    </font>
    <font>
      <sz val="10"/>
      <color rgb="FF000000"/>
      <name val="Verdana"/>
      <family val="2"/>
    </font>
    <font>
      <b/>
      <sz val="10"/>
      <color theme="1"/>
      <name val="Times New Roman"/>
      <family val="1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sz val="18"/>
      <color theme="1"/>
      <name val="Calibri"/>
      <family val="2"/>
    </font>
    <font>
      <b/>
      <i/>
      <sz val="10"/>
      <color rgb="FF000000"/>
      <name val="Verdana"/>
      <family val="2"/>
    </font>
    <font>
      <u val="single"/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sz val="8"/>
      <name val="Czcionka tekstu podstawowego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/>
      <bottom>
        <color indexed="63"/>
      </bottom>
    </border>
    <border>
      <left style="thin"/>
      <right style="dotted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29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0" fillId="0" borderId="0">
      <alignment/>
      <protection/>
    </xf>
    <xf numFmtId="0" fontId="74" fillId="0" borderId="0">
      <alignment/>
      <protection/>
    </xf>
    <xf numFmtId="0" fontId="75" fillId="27" borderId="1" applyNumberFormat="0" applyAlignment="0" applyProtection="0"/>
    <xf numFmtId="0" fontId="7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522">
    <xf numFmtId="0" fontId="0" fillId="0" borderId="0" xfId="0" applyAlignment="1">
      <alignment/>
    </xf>
    <xf numFmtId="0" fontId="82" fillId="0" borderId="0" xfId="0" applyFont="1" applyAlignment="1">
      <alignment/>
    </xf>
    <xf numFmtId="0" fontId="0" fillId="0" borderId="0" xfId="0" applyAlignment="1">
      <alignment wrapText="1"/>
    </xf>
    <xf numFmtId="0" fontId="83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84" fillId="0" borderId="0" xfId="0" applyFont="1" applyAlignment="1">
      <alignment wrapText="1"/>
    </xf>
    <xf numFmtId="0" fontId="85" fillId="0" borderId="0" xfId="0" applyFont="1" applyAlignment="1">
      <alignment/>
    </xf>
    <xf numFmtId="0" fontId="85" fillId="0" borderId="0" xfId="0" applyFont="1" applyAlignment="1">
      <alignment wrapText="1"/>
    </xf>
    <xf numFmtId="0" fontId="86" fillId="33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 vertical="top" wrapText="1"/>
    </xf>
    <xf numFmtId="0" fontId="87" fillId="0" borderId="0" xfId="0" applyFont="1" applyAlignment="1">
      <alignment wrapText="1"/>
    </xf>
    <xf numFmtId="0" fontId="88" fillId="0" borderId="0" xfId="0" applyFont="1" applyAlignment="1">
      <alignment/>
    </xf>
    <xf numFmtId="0" fontId="89" fillId="0" borderId="10" xfId="0" applyFont="1" applyBorder="1" applyAlignment="1">
      <alignment horizontal="center" vertical="center" wrapText="1"/>
    </xf>
    <xf numFmtId="0" fontId="84" fillId="34" borderId="10" xfId="0" applyFont="1" applyFill="1" applyBorder="1" applyAlignment="1">
      <alignment wrapText="1"/>
    </xf>
    <xf numFmtId="0" fontId="85" fillId="35" borderId="10" xfId="0" applyFont="1" applyFill="1" applyBorder="1" applyAlignment="1">
      <alignment wrapText="1"/>
    </xf>
    <xf numFmtId="0" fontId="85" fillId="35" borderId="11" xfId="0" applyFont="1" applyFill="1" applyBorder="1" applyAlignment="1">
      <alignment wrapText="1"/>
    </xf>
    <xf numFmtId="0" fontId="88" fillId="33" borderId="10" xfId="0" applyFont="1" applyFill="1" applyBorder="1" applyAlignment="1">
      <alignment horizontal="right" wrapText="1"/>
    </xf>
    <xf numFmtId="0" fontId="85" fillId="0" borderId="0" xfId="0" applyFont="1" applyFill="1" applyBorder="1" applyAlignment="1">
      <alignment horizontal="right" wrapText="1"/>
    </xf>
    <xf numFmtId="0" fontId="44" fillId="34" borderId="10" xfId="0" applyFont="1" applyFill="1" applyBorder="1" applyAlignment="1">
      <alignment vertical="top" wrapText="1"/>
    </xf>
    <xf numFmtId="0" fontId="85" fillId="36" borderId="10" xfId="0" applyFont="1" applyFill="1" applyBorder="1" applyAlignment="1">
      <alignment wrapText="1"/>
    </xf>
    <xf numFmtId="0" fontId="88" fillId="34" borderId="10" xfId="0" applyFont="1" applyFill="1" applyBorder="1" applyAlignment="1">
      <alignment wrapText="1"/>
    </xf>
    <xf numFmtId="0" fontId="88" fillId="36" borderId="10" xfId="0" applyFont="1" applyFill="1" applyBorder="1" applyAlignment="1">
      <alignment wrapText="1"/>
    </xf>
    <xf numFmtId="0" fontId="88" fillId="36" borderId="10" xfId="0" applyFont="1" applyFill="1" applyBorder="1" applyAlignment="1">
      <alignment vertical="center" wrapText="1"/>
    </xf>
    <xf numFmtId="3" fontId="90" fillId="34" borderId="10" xfId="0" applyNumberFormat="1" applyFont="1" applyFill="1" applyBorder="1" applyAlignment="1">
      <alignment horizontal="center" wrapText="1"/>
    </xf>
    <xf numFmtId="3" fontId="85" fillId="0" borderId="0" xfId="0" applyNumberFormat="1" applyFont="1" applyAlignment="1">
      <alignment wrapText="1"/>
    </xf>
    <xf numFmtId="3" fontId="88" fillId="37" borderId="10" xfId="0" applyNumberFormat="1" applyFont="1" applyFill="1" applyBorder="1" applyAlignment="1">
      <alignment wrapText="1"/>
    </xf>
    <xf numFmtId="3" fontId="85" fillId="37" borderId="10" xfId="0" applyNumberFormat="1" applyFont="1" applyFill="1" applyBorder="1" applyAlignment="1">
      <alignment wrapText="1"/>
    </xf>
    <xf numFmtId="3" fontId="85" fillId="37" borderId="11" xfId="0" applyNumberFormat="1" applyFont="1" applyFill="1" applyBorder="1" applyAlignment="1">
      <alignment wrapText="1"/>
    </xf>
    <xf numFmtId="3" fontId="88" fillId="33" borderId="10" xfId="0" applyNumberFormat="1" applyFont="1" applyFill="1" applyBorder="1" applyAlignment="1">
      <alignment wrapText="1"/>
    </xf>
    <xf numFmtId="3" fontId="44" fillId="34" borderId="10" xfId="0" applyNumberFormat="1" applyFont="1" applyFill="1" applyBorder="1" applyAlignment="1">
      <alignment horizontal="center" vertical="top" wrapText="1"/>
    </xf>
    <xf numFmtId="3" fontId="85" fillId="38" borderId="10" xfId="0" applyNumberFormat="1" applyFont="1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vertical="top" wrapText="1"/>
    </xf>
    <xf numFmtId="3" fontId="89" fillId="0" borderId="10" xfId="0" applyNumberFormat="1" applyFont="1" applyBorder="1" applyAlignment="1">
      <alignment horizontal="center" vertical="center" wrapText="1"/>
    </xf>
    <xf numFmtId="3" fontId="88" fillId="36" borderId="10" xfId="0" applyNumberFormat="1" applyFont="1" applyFill="1" applyBorder="1" applyAlignment="1">
      <alignment wrapText="1"/>
    </xf>
    <xf numFmtId="3" fontId="88" fillId="36" borderId="10" xfId="0" applyNumberFormat="1" applyFont="1" applyFill="1" applyBorder="1" applyAlignment="1">
      <alignment vertical="center" wrapText="1"/>
    </xf>
    <xf numFmtId="3" fontId="77" fillId="34" borderId="10" xfId="0" applyNumberFormat="1" applyFont="1" applyFill="1" applyBorder="1" applyAlignment="1">
      <alignment horizontal="right" wrapText="1"/>
    </xf>
    <xf numFmtId="0" fontId="91" fillId="35" borderId="10" xfId="0" applyFont="1" applyFill="1" applyBorder="1" applyAlignment="1" applyProtection="1">
      <alignment horizontal="center" wrapText="1"/>
      <protection/>
    </xf>
    <xf numFmtId="0" fontId="49" fillId="35" borderId="10" xfId="0" applyFont="1" applyFill="1" applyBorder="1" applyAlignment="1" applyProtection="1">
      <alignment horizontal="center" wrapText="1"/>
      <protection/>
    </xf>
    <xf numFmtId="4" fontId="92" fillId="38" borderId="10" xfId="0" applyNumberFormat="1" applyFont="1" applyFill="1" applyBorder="1" applyAlignment="1">
      <alignment wrapText="1"/>
    </xf>
    <xf numFmtId="0" fontId="4" fillId="33" borderId="0" xfId="0" applyFont="1" applyFill="1" applyAlignment="1">
      <alignment horizontal="right" vertical="top" wrapText="1"/>
    </xf>
    <xf numFmtId="0" fontId="82" fillId="0" borderId="0" xfId="0" applyFont="1" applyAlignment="1">
      <alignment wrapText="1"/>
    </xf>
    <xf numFmtId="0" fontId="5" fillId="39" borderId="10" xfId="0" applyFont="1" applyFill="1" applyBorder="1" applyAlignment="1">
      <alignment horizontal="justify" vertical="center"/>
    </xf>
    <xf numFmtId="0" fontId="5" fillId="39" borderId="10" xfId="0" applyFont="1" applyFill="1" applyBorder="1" applyAlignment="1">
      <alignment horizontal="center" vertical="center" wrapText="1"/>
    </xf>
    <xf numFmtId="3" fontId="5" fillId="39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center" vertical="center" wrapText="1"/>
    </xf>
    <xf numFmtId="0" fontId="93" fillId="39" borderId="10" xfId="0" applyFont="1" applyFill="1" applyBorder="1" applyAlignment="1">
      <alignment/>
    </xf>
    <xf numFmtId="0" fontId="5" fillId="39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3" fontId="6" fillId="40" borderId="10" xfId="0" applyNumberFormat="1" applyFont="1" applyFill="1" applyBorder="1" applyAlignment="1">
      <alignment horizontal="center" vertical="center"/>
    </xf>
    <xf numFmtId="0" fontId="94" fillId="0" borderId="10" xfId="53" applyFont="1" applyBorder="1">
      <alignment/>
      <protection/>
    </xf>
    <xf numFmtId="3" fontId="5" fillId="0" borderId="10" xfId="53" applyNumberFormat="1" applyFont="1" applyBorder="1" applyAlignment="1">
      <alignment horizontal="center" vertical="center"/>
      <protection/>
    </xf>
    <xf numFmtId="0" fontId="5" fillId="41" borderId="10" xfId="0" applyFont="1" applyFill="1" applyBorder="1" applyAlignment="1">
      <alignment horizontal="justify" vertical="center"/>
    </xf>
    <xf numFmtId="0" fontId="5" fillId="40" borderId="10" xfId="52" applyFont="1" applyFill="1" applyBorder="1" applyAlignment="1">
      <alignment wrapText="1"/>
      <protection/>
    </xf>
    <xf numFmtId="0" fontId="85" fillId="0" borderId="0" xfId="0" applyFont="1" applyFill="1" applyAlignment="1">
      <alignment/>
    </xf>
    <xf numFmtId="0" fontId="93" fillId="0" borderId="10" xfId="0" applyFont="1" applyBorder="1" applyAlignment="1">
      <alignment horizontal="center"/>
    </xf>
    <xf numFmtId="0" fontId="93" fillId="0" borderId="10" xfId="0" applyFont="1" applyBorder="1" applyAlignment="1">
      <alignment horizontal="left"/>
    </xf>
    <xf numFmtId="0" fontId="93" fillId="0" borderId="10" xfId="0" applyFont="1" applyBorder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1" fontId="5" fillId="39" borderId="10" xfId="0" applyNumberFormat="1" applyFont="1" applyFill="1" applyBorder="1" applyAlignment="1">
      <alignment horizontal="center" vertical="center"/>
    </xf>
    <xf numFmtId="3" fontId="93" fillId="0" borderId="10" xfId="0" applyNumberFormat="1" applyFont="1" applyBorder="1" applyAlignment="1">
      <alignment horizontal="center"/>
    </xf>
    <xf numFmtId="0" fontId="92" fillId="0" borderId="10" xfId="0" applyFont="1" applyBorder="1" applyAlignment="1">
      <alignment wrapText="1"/>
    </xf>
    <xf numFmtId="0" fontId="85" fillId="0" borderId="10" xfId="0" applyFont="1" applyBorder="1" applyAlignment="1">
      <alignment wrapText="1"/>
    </xf>
    <xf numFmtId="3" fontId="85" fillId="0" borderId="10" xfId="0" applyNumberFormat="1" applyFont="1" applyBorder="1" applyAlignment="1">
      <alignment wrapText="1"/>
    </xf>
    <xf numFmtId="0" fontId="93" fillId="39" borderId="10" xfId="0" applyFont="1" applyFill="1" applyBorder="1" applyAlignment="1">
      <alignment horizontal="justify" vertical="center"/>
    </xf>
    <xf numFmtId="0" fontId="93" fillId="39" borderId="10" xfId="0" applyFont="1" applyFill="1" applyBorder="1" applyAlignment="1">
      <alignment horizontal="left" vertical="center" wrapText="1"/>
    </xf>
    <xf numFmtId="3" fontId="93" fillId="39" borderId="10" xfId="0" applyNumberFormat="1" applyFont="1" applyFill="1" applyBorder="1" applyAlignment="1">
      <alignment horizontal="center" vertical="center" wrapText="1"/>
    </xf>
    <xf numFmtId="3" fontId="93" fillId="39" borderId="10" xfId="0" applyNumberFormat="1" applyFont="1" applyFill="1" applyBorder="1" applyAlignment="1">
      <alignment horizontal="center" vertical="center"/>
    </xf>
    <xf numFmtId="0" fontId="92" fillId="0" borderId="10" xfId="0" applyFont="1" applyBorder="1" applyAlignment="1">
      <alignment/>
    </xf>
    <xf numFmtId="0" fontId="88" fillId="0" borderId="10" xfId="0" applyFont="1" applyBorder="1" applyAlignment="1">
      <alignment wrapText="1"/>
    </xf>
    <xf numFmtId="0" fontId="93" fillId="0" borderId="10" xfId="0" applyFont="1" applyBorder="1" applyAlignment="1">
      <alignment horizontal="justify" vertical="center"/>
    </xf>
    <xf numFmtId="3" fontId="93" fillId="0" borderId="10" xfId="0" applyNumberFormat="1" applyFont="1" applyBorder="1" applyAlignment="1">
      <alignment horizontal="center" vertical="center"/>
    </xf>
    <xf numFmtId="0" fontId="93" fillId="0" borderId="10" xfId="0" applyFont="1" applyBorder="1" applyAlignment="1">
      <alignment horizontal="center" vertical="center" wrapText="1"/>
    </xf>
    <xf numFmtId="0" fontId="93" fillId="40" borderId="10" xfId="0" applyFont="1" applyFill="1" applyBorder="1" applyAlignment="1">
      <alignment horizontal="center" vertical="center" wrapText="1"/>
    </xf>
    <xf numFmtId="0" fontId="93" fillId="39" borderId="10" xfId="0" applyFont="1" applyFill="1" applyBorder="1" applyAlignment="1">
      <alignment horizontal="center" vertical="center" wrapText="1"/>
    </xf>
    <xf numFmtId="3" fontId="93" fillId="40" borderId="10" xfId="0" applyNumberFormat="1" applyFont="1" applyFill="1" applyBorder="1" applyAlignment="1">
      <alignment horizontal="center" vertical="center"/>
    </xf>
    <xf numFmtId="0" fontId="93" fillId="40" borderId="10" xfId="0" applyFont="1" applyFill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3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5" fillId="42" borderId="10" xfId="0" applyNumberFormat="1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 horizontal="center" vertical="center" wrapText="1"/>
    </xf>
    <xf numFmtId="0" fontId="8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" fontId="93" fillId="41" borderId="10" xfId="0" applyNumberFormat="1" applyFont="1" applyFill="1" applyBorder="1" applyAlignment="1">
      <alignment horizontal="center" vertical="center"/>
    </xf>
    <xf numFmtId="0" fontId="93" fillId="41" borderId="10" xfId="0" applyFont="1" applyFill="1" applyBorder="1" applyAlignment="1">
      <alignment horizontal="center" vertical="center" wrapText="1"/>
    </xf>
    <xf numFmtId="1" fontId="93" fillId="39" borderId="10" xfId="0" applyNumberFormat="1" applyFont="1" applyFill="1" applyBorder="1" applyAlignment="1">
      <alignment horizontal="center" vertical="center"/>
    </xf>
    <xf numFmtId="1" fontId="93" fillId="39" borderId="10" xfId="0" applyNumberFormat="1" applyFont="1" applyFill="1" applyBorder="1" applyAlignment="1">
      <alignment horizontal="center" vertical="center" wrapText="1"/>
    </xf>
    <xf numFmtId="1" fontId="93" fillId="0" borderId="10" xfId="0" applyNumberFormat="1" applyFont="1" applyBorder="1" applyAlignment="1">
      <alignment horizontal="center" wrapText="1"/>
    </xf>
    <xf numFmtId="0" fontId="93" fillId="0" borderId="10" xfId="0" applyFont="1" applyFill="1" applyBorder="1" applyAlignment="1">
      <alignment horizontal="center" wrapText="1"/>
    </xf>
    <xf numFmtId="0" fontId="97" fillId="0" borderId="12" xfId="0" applyFont="1" applyBorder="1" applyAlignment="1">
      <alignment horizontal="center" vertical="center" wrapText="1"/>
    </xf>
    <xf numFmtId="0" fontId="97" fillId="0" borderId="13" xfId="0" applyFont="1" applyBorder="1" applyAlignment="1">
      <alignment horizontal="center" vertical="center" wrapText="1"/>
    </xf>
    <xf numFmtId="0" fontId="97" fillId="0" borderId="14" xfId="0" applyFont="1" applyBorder="1" applyAlignment="1">
      <alignment horizontal="center" vertical="center" wrapText="1"/>
    </xf>
    <xf numFmtId="0" fontId="97" fillId="43" borderId="15" xfId="0" applyFont="1" applyFill="1" applyBorder="1" applyAlignment="1">
      <alignment horizontal="center" vertical="center" wrapText="1"/>
    </xf>
    <xf numFmtId="0" fontId="97" fillId="43" borderId="16" xfId="0" applyFont="1" applyFill="1" applyBorder="1" applyAlignment="1">
      <alignment horizontal="center" vertical="center" wrapText="1"/>
    </xf>
    <xf numFmtId="0" fontId="97" fillId="43" borderId="17" xfId="0" applyFont="1" applyFill="1" applyBorder="1" applyAlignment="1">
      <alignment horizontal="center" vertical="center" wrapText="1"/>
    </xf>
    <xf numFmtId="0" fontId="98" fillId="43" borderId="18" xfId="0" applyFont="1" applyFill="1" applyBorder="1" applyAlignment="1">
      <alignment horizontal="center" vertical="center" wrapText="1"/>
    </xf>
    <xf numFmtId="0" fontId="98" fillId="43" borderId="19" xfId="0" applyFont="1" applyFill="1" applyBorder="1" applyAlignment="1">
      <alignment horizontal="center" vertical="center" wrapText="1"/>
    </xf>
    <xf numFmtId="0" fontId="98" fillId="43" borderId="20" xfId="0" applyFont="1" applyFill="1" applyBorder="1" applyAlignment="1">
      <alignment horizontal="center" vertical="center" wrapText="1"/>
    </xf>
    <xf numFmtId="0" fontId="99" fillId="43" borderId="12" xfId="0" applyFont="1" applyFill="1" applyBorder="1" applyAlignment="1">
      <alignment horizontal="center" vertical="center" wrapText="1"/>
    </xf>
    <xf numFmtId="0" fontId="99" fillId="43" borderId="13" xfId="0" applyFont="1" applyFill="1" applyBorder="1" applyAlignment="1">
      <alignment horizontal="center" vertical="center" wrapText="1"/>
    </xf>
    <xf numFmtId="0" fontId="99" fillId="43" borderId="14" xfId="0" applyFont="1" applyFill="1" applyBorder="1" applyAlignment="1">
      <alignment horizontal="center" vertical="center" wrapText="1"/>
    </xf>
    <xf numFmtId="0" fontId="98" fillId="43" borderId="15" xfId="0" applyFont="1" applyFill="1" applyBorder="1" applyAlignment="1">
      <alignment horizontal="center" vertical="center" wrapText="1"/>
    </xf>
    <xf numFmtId="0" fontId="98" fillId="43" borderId="16" xfId="0" applyFont="1" applyFill="1" applyBorder="1" applyAlignment="1">
      <alignment horizontal="center" vertical="center" wrapText="1"/>
    </xf>
    <xf numFmtId="0" fontId="98" fillId="43" borderId="17" xfId="0" applyFont="1" applyFill="1" applyBorder="1" applyAlignment="1">
      <alignment horizontal="center" vertical="center" wrapText="1"/>
    </xf>
    <xf numFmtId="0" fontId="97" fillId="0" borderId="0" xfId="0" applyFont="1" applyAlignment="1">
      <alignment horizontal="justify" vertical="center"/>
    </xf>
    <xf numFmtId="0" fontId="97" fillId="44" borderId="15" xfId="0" applyFont="1" applyFill="1" applyBorder="1" applyAlignment="1">
      <alignment horizontal="center" vertical="center" wrapText="1"/>
    </xf>
    <xf numFmtId="0" fontId="97" fillId="44" borderId="16" xfId="0" applyFont="1" applyFill="1" applyBorder="1" applyAlignment="1">
      <alignment horizontal="center" vertical="center" wrapText="1"/>
    </xf>
    <xf numFmtId="0" fontId="97" fillId="44" borderId="17" xfId="0" applyFont="1" applyFill="1" applyBorder="1" applyAlignment="1">
      <alignment horizontal="center" vertical="center" wrapText="1"/>
    </xf>
    <xf numFmtId="0" fontId="98" fillId="44" borderId="18" xfId="0" applyFont="1" applyFill="1" applyBorder="1" applyAlignment="1">
      <alignment horizontal="center" vertical="center" wrapText="1"/>
    </xf>
    <xf numFmtId="0" fontId="98" fillId="44" borderId="19" xfId="0" applyFont="1" applyFill="1" applyBorder="1" applyAlignment="1">
      <alignment horizontal="center" vertical="center" wrapText="1"/>
    </xf>
    <xf numFmtId="0" fontId="98" fillId="44" borderId="20" xfId="0" applyFont="1" applyFill="1" applyBorder="1" applyAlignment="1">
      <alignment horizontal="center" vertical="center" wrapText="1"/>
    </xf>
    <xf numFmtId="0" fontId="99" fillId="44" borderId="12" xfId="0" applyFont="1" applyFill="1" applyBorder="1" applyAlignment="1">
      <alignment horizontal="center" vertical="center" wrapText="1"/>
    </xf>
    <xf numFmtId="0" fontId="99" fillId="44" borderId="13" xfId="0" applyFont="1" applyFill="1" applyBorder="1" applyAlignment="1">
      <alignment horizontal="center" vertical="center" wrapText="1"/>
    </xf>
    <xf numFmtId="0" fontId="99" fillId="44" borderId="14" xfId="0" applyFont="1" applyFill="1" applyBorder="1" applyAlignment="1">
      <alignment horizontal="center" vertical="center" wrapText="1"/>
    </xf>
    <xf numFmtId="0" fontId="98" fillId="44" borderId="15" xfId="0" applyFont="1" applyFill="1" applyBorder="1" applyAlignment="1">
      <alignment horizontal="center" vertical="center" wrapText="1"/>
    </xf>
    <xf numFmtId="0" fontId="98" fillId="44" borderId="16" xfId="0" applyFont="1" applyFill="1" applyBorder="1" applyAlignment="1">
      <alignment horizontal="center" vertical="center" wrapText="1"/>
    </xf>
    <xf numFmtId="0" fontId="98" fillId="44" borderId="17" xfId="0" applyFont="1" applyFill="1" applyBorder="1" applyAlignment="1">
      <alignment horizontal="center" vertical="center" wrapText="1"/>
    </xf>
    <xf numFmtId="0" fontId="98" fillId="0" borderId="0" xfId="0" applyFont="1" applyAlignment="1">
      <alignment horizontal="justify" vertical="center"/>
    </xf>
    <xf numFmtId="0" fontId="97" fillId="34" borderId="12" xfId="0" applyFont="1" applyFill="1" applyBorder="1" applyAlignment="1">
      <alignment horizontal="center" vertical="center" wrapText="1"/>
    </xf>
    <xf numFmtId="0" fontId="97" fillId="34" borderId="13" xfId="0" applyFont="1" applyFill="1" applyBorder="1" applyAlignment="1">
      <alignment horizontal="center" vertical="center" wrapText="1"/>
    </xf>
    <xf numFmtId="0" fontId="97" fillId="34" borderId="14" xfId="0" applyFont="1" applyFill="1" applyBorder="1" applyAlignment="1">
      <alignment horizontal="center" vertical="center" wrapText="1"/>
    </xf>
    <xf numFmtId="0" fontId="97" fillId="34" borderId="15" xfId="0" applyFont="1" applyFill="1" applyBorder="1" applyAlignment="1">
      <alignment horizontal="center" vertical="center" wrapText="1"/>
    </xf>
    <xf numFmtId="0" fontId="97" fillId="34" borderId="16" xfId="0" applyFont="1" applyFill="1" applyBorder="1" applyAlignment="1">
      <alignment horizontal="center" vertical="center" wrapText="1"/>
    </xf>
    <xf numFmtId="0" fontId="97" fillId="34" borderId="17" xfId="0" applyFont="1" applyFill="1" applyBorder="1" applyAlignment="1">
      <alignment horizontal="center" vertical="center" wrapText="1"/>
    </xf>
    <xf numFmtId="0" fontId="98" fillId="34" borderId="18" xfId="0" applyFont="1" applyFill="1" applyBorder="1" applyAlignment="1">
      <alignment horizontal="center" vertical="center" wrapText="1"/>
    </xf>
    <xf numFmtId="0" fontId="98" fillId="34" borderId="19" xfId="0" applyFont="1" applyFill="1" applyBorder="1" applyAlignment="1">
      <alignment horizontal="center" vertical="center" wrapText="1"/>
    </xf>
    <xf numFmtId="0" fontId="98" fillId="34" borderId="20" xfId="0" applyFont="1" applyFill="1" applyBorder="1" applyAlignment="1">
      <alignment horizontal="center" vertical="center" wrapText="1"/>
    </xf>
    <xf numFmtId="0" fontId="99" fillId="34" borderId="12" xfId="0" applyFont="1" applyFill="1" applyBorder="1" applyAlignment="1">
      <alignment horizontal="center" vertical="center" wrapText="1"/>
    </xf>
    <xf numFmtId="0" fontId="99" fillId="34" borderId="13" xfId="0" applyFont="1" applyFill="1" applyBorder="1" applyAlignment="1">
      <alignment horizontal="center" vertical="center" wrapText="1"/>
    </xf>
    <xf numFmtId="0" fontId="99" fillId="34" borderId="14" xfId="0" applyFont="1" applyFill="1" applyBorder="1" applyAlignment="1">
      <alignment horizontal="center" vertical="center" wrapText="1"/>
    </xf>
    <xf numFmtId="0" fontId="98" fillId="34" borderId="15" xfId="0" applyFont="1" applyFill="1" applyBorder="1" applyAlignment="1">
      <alignment horizontal="center" vertical="center" wrapText="1"/>
    </xf>
    <xf numFmtId="0" fontId="98" fillId="34" borderId="16" xfId="0" applyFont="1" applyFill="1" applyBorder="1" applyAlignment="1">
      <alignment horizontal="center" vertical="center" wrapText="1"/>
    </xf>
    <xf numFmtId="0" fontId="98" fillId="34" borderId="17" xfId="0" applyFont="1" applyFill="1" applyBorder="1" applyAlignment="1">
      <alignment horizontal="center" vertical="center" wrapText="1"/>
    </xf>
    <xf numFmtId="0" fontId="98" fillId="34" borderId="0" xfId="0" applyFont="1" applyFill="1" applyAlignment="1">
      <alignment horizontal="justify" vertical="center"/>
    </xf>
    <xf numFmtId="0" fontId="0" fillId="34" borderId="0" xfId="0" applyFill="1" applyAlignment="1">
      <alignment/>
    </xf>
    <xf numFmtId="0" fontId="97" fillId="9" borderId="21" xfId="0" applyFont="1" applyFill="1" applyBorder="1" applyAlignment="1">
      <alignment horizontal="center" vertical="center" wrapText="1"/>
    </xf>
    <xf numFmtId="0" fontId="97" fillId="9" borderId="0" xfId="0" applyFont="1" applyFill="1" applyBorder="1" applyAlignment="1">
      <alignment horizontal="center" vertical="center" wrapText="1"/>
    </xf>
    <xf numFmtId="0" fontId="97" fillId="9" borderId="22" xfId="0" applyFont="1" applyFill="1" applyBorder="1" applyAlignment="1">
      <alignment horizontal="center" vertical="center" wrapText="1"/>
    </xf>
    <xf numFmtId="0" fontId="97" fillId="9" borderId="15" xfId="0" applyFont="1" applyFill="1" applyBorder="1" applyAlignment="1">
      <alignment horizontal="center" vertical="center" wrapText="1"/>
    </xf>
    <xf numFmtId="0" fontId="97" fillId="9" borderId="16" xfId="0" applyFont="1" applyFill="1" applyBorder="1" applyAlignment="1">
      <alignment horizontal="center" vertical="center" wrapText="1"/>
    </xf>
    <xf numFmtId="0" fontId="97" fillId="9" borderId="17" xfId="0" applyFont="1" applyFill="1" applyBorder="1" applyAlignment="1">
      <alignment horizontal="center" vertical="center" wrapText="1"/>
    </xf>
    <xf numFmtId="0" fontId="98" fillId="9" borderId="18" xfId="0" applyFont="1" applyFill="1" applyBorder="1" applyAlignment="1">
      <alignment horizontal="center" vertical="center" wrapText="1"/>
    </xf>
    <xf numFmtId="0" fontId="98" fillId="9" borderId="19" xfId="0" applyFont="1" applyFill="1" applyBorder="1" applyAlignment="1">
      <alignment horizontal="center" vertical="center" wrapText="1"/>
    </xf>
    <xf numFmtId="0" fontId="98" fillId="9" borderId="20" xfId="0" applyFont="1" applyFill="1" applyBorder="1" applyAlignment="1">
      <alignment horizontal="center" vertical="center" wrapText="1"/>
    </xf>
    <xf numFmtId="0" fontId="99" fillId="9" borderId="12" xfId="0" applyFont="1" applyFill="1" applyBorder="1" applyAlignment="1">
      <alignment horizontal="center" vertical="center" wrapText="1"/>
    </xf>
    <xf numFmtId="0" fontId="99" fillId="9" borderId="13" xfId="0" applyFont="1" applyFill="1" applyBorder="1" applyAlignment="1">
      <alignment horizontal="center" vertical="center" wrapText="1"/>
    </xf>
    <xf numFmtId="0" fontId="99" fillId="9" borderId="14" xfId="0" applyFont="1" applyFill="1" applyBorder="1" applyAlignment="1">
      <alignment horizontal="center" vertical="center" wrapText="1"/>
    </xf>
    <xf numFmtId="0" fontId="98" fillId="9" borderId="15" xfId="0" applyFont="1" applyFill="1" applyBorder="1" applyAlignment="1">
      <alignment horizontal="center" vertical="center" wrapText="1"/>
    </xf>
    <xf numFmtId="0" fontId="98" fillId="9" borderId="16" xfId="0" applyFont="1" applyFill="1" applyBorder="1" applyAlignment="1">
      <alignment horizontal="center" vertical="center" wrapText="1"/>
    </xf>
    <xf numFmtId="0" fontId="98" fillId="9" borderId="17" xfId="0" applyFont="1" applyFill="1" applyBorder="1" applyAlignment="1">
      <alignment horizontal="center" vertical="center" wrapText="1"/>
    </xf>
    <xf numFmtId="0" fontId="0" fillId="9" borderId="0" xfId="0" applyFill="1" applyAlignment="1">
      <alignment/>
    </xf>
    <xf numFmtId="0" fontId="97" fillId="9" borderId="12" xfId="0" applyFont="1" applyFill="1" applyBorder="1" applyAlignment="1">
      <alignment vertical="center" wrapText="1"/>
    </xf>
    <xf numFmtId="0" fontId="97" fillId="9" borderId="13" xfId="0" applyFont="1" applyFill="1" applyBorder="1" applyAlignment="1">
      <alignment vertical="center" wrapText="1"/>
    </xf>
    <xf numFmtId="0" fontId="97" fillId="9" borderId="14" xfId="0" applyFont="1" applyFill="1" applyBorder="1" applyAlignment="1">
      <alignment vertical="center" wrapText="1"/>
    </xf>
    <xf numFmtId="0" fontId="98" fillId="9" borderId="21" xfId="0" applyFont="1" applyFill="1" applyBorder="1" applyAlignment="1">
      <alignment horizontal="center" vertical="center" wrapText="1"/>
    </xf>
    <xf numFmtId="0" fontId="98" fillId="9" borderId="0" xfId="0" applyFont="1" applyFill="1" applyBorder="1" applyAlignment="1">
      <alignment horizontal="center" vertical="center" wrapText="1"/>
    </xf>
    <xf numFmtId="0" fontId="98" fillId="9" borderId="22" xfId="0" applyFont="1" applyFill="1" applyBorder="1" applyAlignment="1">
      <alignment horizontal="center" vertical="center" wrapText="1"/>
    </xf>
    <xf numFmtId="0" fontId="97" fillId="11" borderId="15" xfId="0" applyFont="1" applyFill="1" applyBorder="1" applyAlignment="1">
      <alignment horizontal="center" vertical="center" wrapText="1"/>
    </xf>
    <xf numFmtId="0" fontId="97" fillId="11" borderId="16" xfId="0" applyFont="1" applyFill="1" applyBorder="1" applyAlignment="1">
      <alignment horizontal="center" vertical="center" wrapText="1"/>
    </xf>
    <xf numFmtId="0" fontId="97" fillId="11" borderId="17" xfId="0" applyFont="1" applyFill="1" applyBorder="1" applyAlignment="1">
      <alignment horizontal="center" vertical="center" wrapText="1"/>
    </xf>
    <xf numFmtId="0" fontId="98" fillId="11" borderId="18" xfId="0" applyFont="1" applyFill="1" applyBorder="1" applyAlignment="1">
      <alignment horizontal="center" vertical="center" wrapText="1"/>
    </xf>
    <xf numFmtId="0" fontId="98" fillId="11" borderId="19" xfId="0" applyFont="1" applyFill="1" applyBorder="1" applyAlignment="1">
      <alignment horizontal="center" vertical="center" wrapText="1"/>
    </xf>
    <xf numFmtId="0" fontId="98" fillId="11" borderId="20" xfId="0" applyFont="1" applyFill="1" applyBorder="1" applyAlignment="1">
      <alignment horizontal="center" vertical="center" wrapText="1"/>
    </xf>
    <xf numFmtId="0" fontId="99" fillId="11" borderId="12" xfId="0" applyFont="1" applyFill="1" applyBorder="1" applyAlignment="1">
      <alignment horizontal="center" vertical="center" wrapText="1"/>
    </xf>
    <xf numFmtId="0" fontId="99" fillId="11" borderId="13" xfId="0" applyFont="1" applyFill="1" applyBorder="1" applyAlignment="1">
      <alignment horizontal="center" vertical="center" wrapText="1"/>
    </xf>
    <xf numFmtId="0" fontId="99" fillId="11" borderId="14" xfId="0" applyFont="1" applyFill="1" applyBorder="1" applyAlignment="1">
      <alignment horizontal="center" vertical="center" wrapText="1"/>
    </xf>
    <xf numFmtId="0" fontId="98" fillId="11" borderId="15" xfId="0" applyFont="1" applyFill="1" applyBorder="1" applyAlignment="1">
      <alignment horizontal="center" vertical="center" wrapText="1"/>
    </xf>
    <xf numFmtId="0" fontId="98" fillId="11" borderId="16" xfId="0" applyFont="1" applyFill="1" applyBorder="1" applyAlignment="1">
      <alignment horizontal="center" vertical="center" wrapText="1"/>
    </xf>
    <xf numFmtId="0" fontId="98" fillId="11" borderId="17" xfId="0" applyFont="1" applyFill="1" applyBorder="1" applyAlignment="1">
      <alignment horizontal="center" vertical="center" wrapText="1"/>
    </xf>
    <xf numFmtId="0" fontId="97" fillId="35" borderId="15" xfId="0" applyFont="1" applyFill="1" applyBorder="1" applyAlignment="1">
      <alignment horizontal="center" vertical="center" wrapText="1"/>
    </xf>
    <xf numFmtId="0" fontId="97" fillId="35" borderId="16" xfId="0" applyFont="1" applyFill="1" applyBorder="1" applyAlignment="1">
      <alignment horizontal="center" vertical="center" wrapText="1"/>
    </xf>
    <xf numFmtId="0" fontId="97" fillId="35" borderId="17" xfId="0" applyFont="1" applyFill="1" applyBorder="1" applyAlignment="1">
      <alignment horizontal="center" vertical="center" wrapText="1"/>
    </xf>
    <xf numFmtId="0" fontId="98" fillId="35" borderId="18" xfId="0" applyFont="1" applyFill="1" applyBorder="1" applyAlignment="1">
      <alignment horizontal="center" vertical="center" wrapText="1"/>
    </xf>
    <xf numFmtId="0" fontId="98" fillId="35" borderId="19" xfId="0" applyFont="1" applyFill="1" applyBorder="1" applyAlignment="1">
      <alignment horizontal="center" vertical="center" wrapText="1"/>
    </xf>
    <xf numFmtId="0" fontId="98" fillId="35" borderId="20" xfId="0" applyFont="1" applyFill="1" applyBorder="1" applyAlignment="1">
      <alignment horizontal="center" vertical="center" wrapText="1"/>
    </xf>
    <xf numFmtId="0" fontId="99" fillId="35" borderId="12" xfId="0" applyFont="1" applyFill="1" applyBorder="1" applyAlignment="1">
      <alignment horizontal="center" vertical="center" wrapText="1"/>
    </xf>
    <xf numFmtId="0" fontId="99" fillId="35" borderId="13" xfId="0" applyFont="1" applyFill="1" applyBorder="1" applyAlignment="1">
      <alignment horizontal="center" vertical="center" wrapText="1"/>
    </xf>
    <xf numFmtId="0" fontId="99" fillId="35" borderId="14" xfId="0" applyFont="1" applyFill="1" applyBorder="1" applyAlignment="1">
      <alignment horizontal="center" vertical="center" wrapText="1"/>
    </xf>
    <xf numFmtId="0" fontId="98" fillId="35" borderId="21" xfId="0" applyFont="1" applyFill="1" applyBorder="1" applyAlignment="1">
      <alignment horizontal="center" vertical="center" wrapText="1"/>
    </xf>
    <xf numFmtId="0" fontId="98" fillId="35" borderId="0" xfId="0" applyFont="1" applyFill="1" applyBorder="1" applyAlignment="1">
      <alignment horizontal="center" vertical="center" wrapText="1"/>
    </xf>
    <xf numFmtId="0" fontId="98" fillId="35" borderId="22" xfId="0" applyFont="1" applyFill="1" applyBorder="1" applyAlignment="1">
      <alignment horizontal="center" vertical="center" wrapText="1"/>
    </xf>
    <xf numFmtId="0" fontId="98" fillId="35" borderId="15" xfId="0" applyFont="1" applyFill="1" applyBorder="1" applyAlignment="1">
      <alignment horizontal="center" vertical="center" wrapText="1"/>
    </xf>
    <xf numFmtId="0" fontId="98" fillId="35" borderId="16" xfId="0" applyFont="1" applyFill="1" applyBorder="1" applyAlignment="1">
      <alignment horizontal="center" vertical="center" wrapText="1"/>
    </xf>
    <xf numFmtId="0" fontId="98" fillId="35" borderId="17" xfId="0" applyFont="1" applyFill="1" applyBorder="1" applyAlignment="1">
      <alignment horizontal="center" vertical="center" wrapText="1"/>
    </xf>
    <xf numFmtId="0" fontId="98" fillId="43" borderId="23" xfId="0" applyFont="1" applyFill="1" applyBorder="1" applyAlignment="1">
      <alignment horizontal="left" vertical="center" wrapText="1"/>
    </xf>
    <xf numFmtId="0" fontId="98" fillId="43" borderId="17" xfId="0" applyFont="1" applyFill="1" applyBorder="1" applyAlignment="1">
      <alignment horizontal="left" vertical="center" wrapText="1"/>
    </xf>
    <xf numFmtId="0" fontId="98" fillId="44" borderId="23" xfId="0" applyFont="1" applyFill="1" applyBorder="1" applyAlignment="1">
      <alignment horizontal="left" vertical="center" wrapText="1"/>
    </xf>
    <xf numFmtId="0" fontId="98" fillId="44" borderId="17" xfId="0" applyFont="1" applyFill="1" applyBorder="1" applyAlignment="1">
      <alignment horizontal="left" vertical="center" wrapText="1"/>
    </xf>
    <xf numFmtId="0" fontId="98" fillId="34" borderId="23" xfId="0" applyFont="1" applyFill="1" applyBorder="1" applyAlignment="1">
      <alignment horizontal="left" vertical="center" wrapText="1"/>
    </xf>
    <xf numFmtId="0" fontId="98" fillId="34" borderId="17" xfId="0" applyFont="1" applyFill="1" applyBorder="1" applyAlignment="1">
      <alignment horizontal="left" vertical="center" wrapText="1"/>
    </xf>
    <xf numFmtId="0" fontId="98" fillId="9" borderId="23" xfId="0" applyFont="1" applyFill="1" applyBorder="1" applyAlignment="1">
      <alignment horizontal="left" vertical="center" wrapText="1"/>
    </xf>
    <xf numFmtId="0" fontId="98" fillId="9" borderId="17" xfId="0" applyFont="1" applyFill="1" applyBorder="1" applyAlignment="1">
      <alignment horizontal="left" vertical="center" wrapText="1"/>
    </xf>
    <xf numFmtId="0" fontId="100" fillId="9" borderId="23" xfId="0" applyFont="1" applyFill="1" applyBorder="1" applyAlignment="1">
      <alignment horizontal="left" vertical="center" wrapText="1"/>
    </xf>
    <xf numFmtId="0" fontId="97" fillId="0" borderId="21" xfId="0" applyFont="1" applyBorder="1" applyAlignment="1">
      <alignment horizontal="center" vertical="center" wrapText="1"/>
    </xf>
    <xf numFmtId="0" fontId="97" fillId="0" borderId="0" xfId="0" applyFont="1" applyBorder="1" applyAlignment="1">
      <alignment horizontal="center" vertical="center" wrapText="1"/>
    </xf>
    <xf numFmtId="0" fontId="97" fillId="0" borderId="22" xfId="0" applyFont="1" applyBorder="1" applyAlignment="1">
      <alignment horizontal="center" vertical="center" wrapText="1"/>
    </xf>
    <xf numFmtId="0" fontId="98" fillId="11" borderId="23" xfId="0" applyFont="1" applyFill="1" applyBorder="1" applyAlignment="1">
      <alignment horizontal="left" vertical="center" wrapText="1"/>
    </xf>
    <xf numFmtId="0" fontId="98" fillId="11" borderId="17" xfId="0" applyFont="1" applyFill="1" applyBorder="1" applyAlignment="1">
      <alignment horizontal="left" vertical="center" wrapText="1"/>
    </xf>
    <xf numFmtId="0" fontId="98" fillId="11" borderId="24" xfId="0" applyFont="1" applyFill="1" applyBorder="1" applyAlignment="1">
      <alignment horizontal="left" vertical="center" wrapText="1"/>
    </xf>
    <xf numFmtId="0" fontId="98" fillId="35" borderId="23" xfId="0" applyFont="1" applyFill="1" applyBorder="1" applyAlignment="1">
      <alignment horizontal="left" vertical="center" wrapText="1"/>
    </xf>
    <xf numFmtId="0" fontId="98" fillId="35" borderId="17" xfId="0" applyFont="1" applyFill="1" applyBorder="1" applyAlignment="1">
      <alignment horizontal="left" vertical="center" wrapText="1"/>
    </xf>
    <xf numFmtId="0" fontId="100" fillId="43" borderId="23" xfId="0" applyFont="1" applyFill="1" applyBorder="1" applyAlignment="1">
      <alignment horizontal="left" vertical="center" wrapText="1"/>
    </xf>
    <xf numFmtId="0" fontId="101" fillId="43" borderId="17" xfId="0" applyFont="1" applyFill="1" applyBorder="1" applyAlignment="1">
      <alignment horizontal="left" vertical="center" wrapText="1"/>
    </xf>
    <xf numFmtId="0" fontId="101" fillId="44" borderId="17" xfId="0" applyFont="1" applyFill="1" applyBorder="1" applyAlignment="1">
      <alignment horizontal="left" vertical="center" wrapText="1"/>
    </xf>
    <xf numFmtId="0" fontId="100" fillId="44" borderId="23" xfId="0" applyFont="1" applyFill="1" applyBorder="1" applyAlignment="1">
      <alignment horizontal="left" vertical="center" wrapText="1"/>
    </xf>
    <xf numFmtId="0" fontId="101" fillId="34" borderId="17" xfId="0" applyFont="1" applyFill="1" applyBorder="1" applyAlignment="1">
      <alignment horizontal="left" vertical="center" wrapText="1"/>
    </xf>
    <xf numFmtId="0" fontId="100" fillId="34" borderId="23" xfId="0" applyFont="1" applyFill="1" applyBorder="1" applyAlignment="1">
      <alignment horizontal="left" vertical="center" wrapText="1"/>
    </xf>
    <xf numFmtId="0" fontId="101" fillId="9" borderId="17" xfId="0" applyFont="1" applyFill="1" applyBorder="1" applyAlignment="1">
      <alignment horizontal="left" vertical="center" wrapText="1"/>
    </xf>
    <xf numFmtId="0" fontId="100" fillId="9" borderId="25" xfId="0" applyFont="1" applyFill="1" applyBorder="1" applyAlignment="1">
      <alignment horizontal="left" vertical="center" wrapText="1"/>
    </xf>
    <xf numFmtId="0" fontId="98" fillId="9" borderId="22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39" borderId="0" xfId="0" applyFill="1" applyBorder="1" applyAlignment="1">
      <alignment/>
    </xf>
    <xf numFmtId="0" fontId="97" fillId="39" borderId="0" xfId="0" applyFont="1" applyFill="1" applyBorder="1" applyAlignment="1">
      <alignment horizontal="center" vertical="center" wrapText="1"/>
    </xf>
    <xf numFmtId="0" fontId="98" fillId="39" borderId="0" xfId="0" applyFont="1" applyFill="1" applyBorder="1" applyAlignment="1">
      <alignment horizontal="center" vertical="center" wrapText="1"/>
    </xf>
    <xf numFmtId="0" fontId="99" fillId="39" borderId="0" xfId="0" applyFont="1" applyFill="1" applyBorder="1" applyAlignment="1">
      <alignment horizontal="center" vertical="center" wrapText="1"/>
    </xf>
    <xf numFmtId="0" fontId="98" fillId="39" borderId="0" xfId="0" applyFont="1" applyFill="1" applyBorder="1" applyAlignment="1">
      <alignment horizontal="left" vertical="center" wrapText="1"/>
    </xf>
    <xf numFmtId="0" fontId="0" fillId="39" borderId="0" xfId="0" applyFill="1" applyBorder="1" applyAlignment="1">
      <alignment horizontal="left" wrapText="1"/>
    </xf>
    <xf numFmtId="0" fontId="101" fillId="11" borderId="24" xfId="0" applyFont="1" applyFill="1" applyBorder="1" applyAlignment="1">
      <alignment horizontal="left" vertical="center" wrapText="1"/>
    </xf>
    <xf numFmtId="0" fontId="101" fillId="11" borderId="22" xfId="0" applyFont="1" applyFill="1" applyBorder="1" applyAlignment="1">
      <alignment horizontal="left" vertical="center" wrapText="1"/>
    </xf>
    <xf numFmtId="0" fontId="101" fillId="11" borderId="17" xfId="0" applyFont="1" applyFill="1" applyBorder="1" applyAlignment="1">
      <alignment horizontal="left" vertical="center" wrapText="1"/>
    </xf>
    <xf numFmtId="0" fontId="100" fillId="11" borderId="24" xfId="0" applyFont="1" applyFill="1" applyBorder="1" applyAlignment="1">
      <alignment horizontal="left" vertical="center" wrapText="1"/>
    </xf>
    <xf numFmtId="0" fontId="101" fillId="35" borderId="17" xfId="0" applyFont="1" applyFill="1" applyBorder="1" applyAlignment="1">
      <alignment horizontal="left" vertical="center" wrapText="1"/>
    </xf>
    <xf numFmtId="0" fontId="100" fillId="35" borderId="23" xfId="0" applyFont="1" applyFill="1" applyBorder="1" applyAlignment="1">
      <alignment horizontal="left" vertical="center" wrapText="1"/>
    </xf>
    <xf numFmtId="3" fontId="93" fillId="39" borderId="10" xfId="0" applyNumberFormat="1" applyFont="1" applyFill="1" applyBorder="1" applyAlignment="1">
      <alignment horizontal="center" wrapText="1"/>
    </xf>
    <xf numFmtId="3" fontId="93" fillId="0" borderId="10" xfId="0" applyNumberFormat="1" applyFont="1" applyBorder="1" applyAlignment="1">
      <alignment horizontal="center" wrapText="1"/>
    </xf>
    <xf numFmtId="0" fontId="97" fillId="45" borderId="10" xfId="0" applyFont="1" applyFill="1" applyBorder="1" applyAlignment="1">
      <alignment horizontal="center" vertical="center" wrapText="1"/>
    </xf>
    <xf numFmtId="0" fontId="98" fillId="45" borderId="10" xfId="0" applyFont="1" applyFill="1" applyBorder="1" applyAlignment="1">
      <alignment horizontal="center" vertical="center" wrapText="1"/>
    </xf>
    <xf numFmtId="0" fontId="99" fillId="45" borderId="10" xfId="0" applyFont="1" applyFill="1" applyBorder="1" applyAlignment="1">
      <alignment horizontal="center" vertical="center" wrapText="1"/>
    </xf>
    <xf numFmtId="0" fontId="98" fillId="45" borderId="10" xfId="0" applyFont="1" applyFill="1" applyBorder="1" applyAlignment="1">
      <alignment horizontal="left" vertical="center" wrapText="1"/>
    </xf>
    <xf numFmtId="0" fontId="9" fillId="45" borderId="10" xfId="0" applyFont="1" applyFill="1" applyBorder="1" applyAlignment="1">
      <alignment horizontal="left" vertical="center" wrapText="1"/>
    </xf>
    <xf numFmtId="0" fontId="10" fillId="45" borderId="10" xfId="0" applyFont="1" applyFill="1" applyBorder="1" applyAlignment="1">
      <alignment horizontal="left" vertical="center" wrapText="1"/>
    </xf>
    <xf numFmtId="0" fontId="93" fillId="0" borderId="10" xfId="0" applyFont="1" applyBorder="1" applyAlignment="1">
      <alignment wrapText="1"/>
    </xf>
    <xf numFmtId="0" fontId="98" fillId="33" borderId="23" xfId="0" applyFont="1" applyFill="1" applyBorder="1" applyAlignment="1">
      <alignment horizontal="justify" vertical="center" wrapText="1"/>
    </xf>
    <xf numFmtId="0" fontId="98" fillId="33" borderId="17" xfId="0" applyFont="1" applyFill="1" applyBorder="1" applyAlignment="1">
      <alignment horizontal="justify" vertical="center" wrapText="1"/>
    </xf>
    <xf numFmtId="0" fontId="98" fillId="33" borderId="17" xfId="0" applyFont="1" applyFill="1" applyBorder="1" applyAlignment="1">
      <alignment vertical="center" wrapText="1"/>
    </xf>
    <xf numFmtId="0" fontId="98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98" fillId="33" borderId="17" xfId="0" applyFont="1" applyFill="1" applyBorder="1" applyAlignment="1">
      <alignment horizontal="left" vertical="center" wrapText="1"/>
    </xf>
    <xf numFmtId="0" fontId="98" fillId="8" borderId="23" xfId="0" applyFont="1" applyFill="1" applyBorder="1" applyAlignment="1">
      <alignment horizontal="justify" vertical="center" wrapText="1"/>
    </xf>
    <xf numFmtId="0" fontId="98" fillId="8" borderId="17" xfId="0" applyFont="1" applyFill="1" applyBorder="1" applyAlignment="1">
      <alignment horizontal="justify" vertical="center" wrapText="1"/>
    </xf>
    <xf numFmtId="0" fontId="98" fillId="8" borderId="17" xfId="0" applyFont="1" applyFill="1" applyBorder="1" applyAlignment="1">
      <alignment vertical="center" wrapText="1"/>
    </xf>
    <xf numFmtId="0" fontId="98" fillId="37" borderId="23" xfId="0" applyFont="1" applyFill="1" applyBorder="1" applyAlignment="1">
      <alignment horizontal="justify" vertical="center" wrapText="1"/>
    </xf>
    <xf numFmtId="0" fontId="98" fillId="37" borderId="17" xfId="0" applyFont="1" applyFill="1" applyBorder="1" applyAlignment="1">
      <alignment horizontal="justify" vertical="center" wrapText="1"/>
    </xf>
    <xf numFmtId="0" fontId="98" fillId="37" borderId="17" xfId="0" applyFont="1" applyFill="1" applyBorder="1" applyAlignment="1">
      <alignment vertical="center" wrapText="1"/>
    </xf>
    <xf numFmtId="0" fontId="77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0" xfId="0" applyFill="1" applyAlignment="1">
      <alignment/>
    </xf>
    <xf numFmtId="0" fontId="102" fillId="37" borderId="10" xfId="0" applyFont="1" applyFill="1" applyBorder="1" applyAlignment="1">
      <alignment/>
    </xf>
    <xf numFmtId="0" fontId="100" fillId="37" borderId="23" xfId="0" applyFont="1" applyFill="1" applyBorder="1" applyAlignment="1">
      <alignment horizontal="justify" vertical="center" wrapText="1"/>
    </xf>
    <xf numFmtId="0" fontId="101" fillId="34" borderId="16" xfId="0" applyFont="1" applyFill="1" applyBorder="1" applyAlignment="1">
      <alignment horizontal="left" vertical="center" wrapText="1"/>
    </xf>
    <xf numFmtId="0" fontId="0" fillId="46" borderId="10" xfId="0" applyFill="1" applyBorder="1" applyAlignment="1">
      <alignment wrapText="1"/>
    </xf>
    <xf numFmtId="0" fontId="98" fillId="37" borderId="16" xfId="0" applyFont="1" applyFill="1" applyBorder="1" applyAlignment="1">
      <alignment horizontal="justify" vertical="center" wrapText="1"/>
    </xf>
    <xf numFmtId="0" fontId="103" fillId="33" borderId="23" xfId="0" applyFont="1" applyFill="1" applyBorder="1" applyAlignment="1">
      <alignment horizontal="justify" vertical="center" wrapText="1"/>
    </xf>
    <xf numFmtId="0" fontId="103" fillId="33" borderId="17" xfId="0" applyFont="1" applyFill="1" applyBorder="1" applyAlignment="1">
      <alignment vertical="center" wrapText="1"/>
    </xf>
    <xf numFmtId="0" fontId="103" fillId="33" borderId="16" xfId="0" applyFont="1" applyFill="1" applyBorder="1" applyAlignment="1">
      <alignment horizontal="left" vertical="center" wrapText="1"/>
    </xf>
    <xf numFmtId="0" fontId="0" fillId="46" borderId="10" xfId="0" applyFont="1" applyFill="1" applyBorder="1" applyAlignment="1">
      <alignment wrapText="1"/>
    </xf>
    <xf numFmtId="0" fontId="101" fillId="35" borderId="16" xfId="0" applyFont="1" applyFill="1" applyBorder="1" applyAlignment="1">
      <alignment horizontal="left" vertical="center" wrapText="1"/>
    </xf>
    <xf numFmtId="0" fontId="93" fillId="0" borderId="10" xfId="0" applyFont="1" applyBorder="1" applyAlignment="1">
      <alignment horizontal="justify"/>
    </xf>
    <xf numFmtId="0" fontId="93" fillId="0" borderId="10" xfId="0" applyFont="1" applyBorder="1" applyAlignment="1">
      <alignment horizontal="center" wrapText="1"/>
    </xf>
    <xf numFmtId="0" fontId="93" fillId="39" borderId="10" xfId="0" applyNumberFormat="1" applyFont="1" applyFill="1" applyBorder="1" applyAlignment="1">
      <alignment horizontal="right" vertical="center" wrapText="1"/>
    </xf>
    <xf numFmtId="0" fontId="93" fillId="39" borderId="10" xfId="0" applyFont="1" applyFill="1" applyBorder="1" applyAlignment="1">
      <alignment wrapText="1"/>
    </xf>
    <xf numFmtId="0" fontId="85" fillId="39" borderId="10" xfId="0" applyFont="1" applyFill="1" applyBorder="1" applyAlignment="1">
      <alignment/>
    </xf>
    <xf numFmtId="0" fontId="85" fillId="39" borderId="0" xfId="0" applyFont="1" applyFill="1" applyAlignment="1">
      <alignment/>
    </xf>
    <xf numFmtId="0" fontId="98" fillId="0" borderId="23" xfId="0" applyFont="1" applyBorder="1" applyAlignment="1">
      <alignment horizontal="justify" vertical="center" wrapText="1"/>
    </xf>
    <xf numFmtId="0" fontId="98" fillId="0" borderId="17" xfId="0" applyFont="1" applyBorder="1" applyAlignment="1">
      <alignment horizontal="justify" vertical="center" wrapText="1"/>
    </xf>
    <xf numFmtId="0" fontId="98" fillId="0" borderId="17" xfId="0" applyFont="1" applyBorder="1" applyAlignment="1">
      <alignment vertical="center" wrapText="1"/>
    </xf>
    <xf numFmtId="3" fontId="104" fillId="0" borderId="10" xfId="0" applyNumberFormat="1" applyFont="1" applyBorder="1" applyAlignment="1">
      <alignment wrapText="1"/>
    </xf>
    <xf numFmtId="0" fontId="104" fillId="0" borderId="10" xfId="0" applyFont="1" applyBorder="1" applyAlignment="1">
      <alignment wrapText="1"/>
    </xf>
    <xf numFmtId="0" fontId="105" fillId="0" borderId="23" xfId="0" applyFont="1" applyBorder="1" applyAlignment="1">
      <alignment vertical="center" wrapText="1"/>
    </xf>
    <xf numFmtId="0" fontId="105" fillId="0" borderId="17" xfId="0" applyFont="1" applyBorder="1" applyAlignment="1">
      <alignment vertical="center" wrapText="1"/>
    </xf>
    <xf numFmtId="0" fontId="105" fillId="0" borderId="17" xfId="0" applyFont="1" applyBorder="1" applyAlignment="1">
      <alignment horizontal="justify" vertical="center" wrapText="1"/>
    </xf>
    <xf numFmtId="0" fontId="106" fillId="0" borderId="0" xfId="0" applyFont="1" applyAlignment="1">
      <alignment/>
    </xf>
    <xf numFmtId="0" fontId="79" fillId="34" borderId="0" xfId="0" applyFont="1" applyFill="1" applyAlignment="1">
      <alignment/>
    </xf>
    <xf numFmtId="0" fontId="105" fillId="0" borderId="23" xfId="0" applyFont="1" applyBorder="1" applyAlignment="1">
      <alignment horizontal="left" vertical="center" wrapText="1"/>
    </xf>
    <xf numFmtId="0" fontId="97" fillId="0" borderId="17" xfId="0" applyFont="1" applyBorder="1" applyAlignment="1">
      <alignment vertical="center" wrapText="1"/>
    </xf>
    <xf numFmtId="0" fontId="104" fillId="39" borderId="10" xfId="0" applyFont="1" applyFill="1" applyBorder="1" applyAlignment="1">
      <alignment horizontal="center" wrapText="1"/>
    </xf>
    <xf numFmtId="0" fontId="104" fillId="39" borderId="10" xfId="0" applyFont="1" applyFill="1" applyBorder="1" applyAlignment="1">
      <alignment wrapText="1"/>
    </xf>
    <xf numFmtId="0" fontId="93" fillId="39" borderId="10" xfId="0" applyNumberFormat="1" applyFont="1" applyFill="1" applyBorder="1" applyAlignment="1">
      <alignment horizontal="right" vertical="center"/>
    </xf>
    <xf numFmtId="0" fontId="5" fillId="39" borderId="10" xfId="53" applyFont="1" applyFill="1" applyBorder="1" applyAlignment="1">
      <alignment horizontal="left" vertical="center"/>
      <protection/>
    </xf>
    <xf numFmtId="0" fontId="9" fillId="34" borderId="17" xfId="0" applyFont="1" applyFill="1" applyBorder="1" applyAlignment="1">
      <alignment horizontal="justify" vertical="center" wrapText="1"/>
    </xf>
    <xf numFmtId="4" fontId="92" fillId="38" borderId="0" xfId="0" applyNumberFormat="1" applyFont="1" applyFill="1" applyBorder="1" applyAlignment="1">
      <alignment wrapText="1"/>
    </xf>
    <xf numFmtId="49" fontId="85" fillId="39" borderId="10" xfId="0" applyNumberFormat="1" applyFont="1" applyFill="1" applyBorder="1" applyAlignment="1">
      <alignment wrapText="1"/>
    </xf>
    <xf numFmtId="0" fontId="89" fillId="39" borderId="10" xfId="0" applyFont="1" applyFill="1" applyBorder="1" applyAlignment="1">
      <alignment horizontal="center" vertical="center" wrapText="1"/>
    </xf>
    <xf numFmtId="0" fontId="88" fillId="39" borderId="10" xfId="0" applyFont="1" applyFill="1" applyBorder="1" applyAlignment="1">
      <alignment horizontal="center" vertical="center" wrapText="1"/>
    </xf>
    <xf numFmtId="0" fontId="87" fillId="39" borderId="10" xfId="0" applyFont="1" applyFill="1" applyBorder="1" applyAlignment="1">
      <alignment wrapText="1"/>
    </xf>
    <xf numFmtId="0" fontId="85" fillId="39" borderId="10" xfId="0" applyNumberFormat="1" applyFont="1" applyFill="1" applyBorder="1" applyAlignment="1">
      <alignment horizontal="right" vertical="center"/>
    </xf>
    <xf numFmtId="0" fontId="85" fillId="39" borderId="10" xfId="0" applyFont="1" applyFill="1" applyBorder="1" applyAlignment="1">
      <alignment wrapText="1"/>
    </xf>
    <xf numFmtId="49" fontId="85" fillId="39" borderId="10" xfId="0" applyNumberFormat="1" applyFont="1" applyFill="1" applyBorder="1" applyAlignment="1">
      <alignment horizontal="right" wrapText="1"/>
    </xf>
    <xf numFmtId="0" fontId="92" fillId="39" borderId="10" xfId="0" applyNumberFormat="1" applyFont="1" applyFill="1" applyBorder="1" applyAlignment="1">
      <alignment horizontal="right" vertical="center" wrapText="1"/>
    </xf>
    <xf numFmtId="0" fontId="92" fillId="39" borderId="10" xfId="0" applyFont="1" applyFill="1" applyBorder="1" applyAlignment="1">
      <alignment wrapText="1"/>
    </xf>
    <xf numFmtId="0" fontId="92" fillId="39" borderId="10" xfId="0" applyFont="1" applyFill="1" applyBorder="1" applyAlignment="1">
      <alignment/>
    </xf>
    <xf numFmtId="49" fontId="92" fillId="39" borderId="10" xfId="0" applyNumberFormat="1" applyFont="1" applyFill="1" applyBorder="1" applyAlignment="1">
      <alignment wrapText="1"/>
    </xf>
    <xf numFmtId="0" fontId="96" fillId="39" borderId="10" xfId="0" applyNumberFormat="1" applyFont="1" applyFill="1" applyBorder="1" applyAlignment="1">
      <alignment horizontal="right" vertical="center"/>
    </xf>
    <xf numFmtId="0" fontId="96" fillId="39" borderId="10" xfId="0" applyFont="1" applyFill="1" applyBorder="1" applyAlignment="1">
      <alignment wrapText="1"/>
    </xf>
    <xf numFmtId="0" fontId="96" fillId="39" borderId="10" xfId="0" applyFont="1" applyFill="1" applyBorder="1" applyAlignment="1">
      <alignment/>
    </xf>
    <xf numFmtId="49" fontId="96" fillId="39" borderId="10" xfId="0" applyNumberFormat="1" applyFont="1" applyFill="1" applyBorder="1" applyAlignment="1">
      <alignment wrapText="1"/>
    </xf>
    <xf numFmtId="0" fontId="92" fillId="39" borderId="10" xfId="0" applyNumberFormat="1" applyFont="1" applyFill="1" applyBorder="1" applyAlignment="1">
      <alignment horizontal="right" vertical="center"/>
    </xf>
    <xf numFmtId="3" fontId="92" fillId="39" borderId="10" xfId="0" applyNumberFormat="1" applyFont="1" applyFill="1" applyBorder="1" applyAlignment="1">
      <alignment/>
    </xf>
    <xf numFmtId="49" fontId="88" fillId="39" borderId="10" xfId="0" applyNumberFormat="1" applyFont="1" applyFill="1" applyBorder="1" applyAlignment="1">
      <alignment wrapText="1"/>
    </xf>
    <xf numFmtId="0" fontId="88" fillId="39" borderId="10" xfId="0" applyFont="1" applyFill="1" applyBorder="1" applyAlignment="1">
      <alignment/>
    </xf>
    <xf numFmtId="0" fontId="88" fillId="39" borderId="10" xfId="0" applyNumberFormat="1" applyFont="1" applyFill="1" applyBorder="1" applyAlignment="1">
      <alignment horizontal="right" vertical="center"/>
    </xf>
    <xf numFmtId="0" fontId="88" fillId="39" borderId="10" xfId="0" applyFont="1" applyFill="1" applyBorder="1" applyAlignment="1">
      <alignment wrapText="1"/>
    </xf>
    <xf numFmtId="3" fontId="93" fillId="39" borderId="10" xfId="0" applyNumberFormat="1" applyFont="1" applyFill="1" applyBorder="1" applyAlignment="1">
      <alignment/>
    </xf>
    <xf numFmtId="49" fontId="93" fillId="39" borderId="10" xfId="0" applyNumberFormat="1" applyFont="1" applyFill="1" applyBorder="1" applyAlignment="1">
      <alignment wrapText="1"/>
    </xf>
    <xf numFmtId="3" fontId="85" fillId="39" borderId="10" xfId="0" applyNumberFormat="1" applyFont="1" applyFill="1" applyBorder="1" applyAlignment="1">
      <alignment/>
    </xf>
    <xf numFmtId="0" fontId="56" fillId="39" borderId="10" xfId="0" applyNumberFormat="1" applyFont="1" applyFill="1" applyBorder="1" applyAlignment="1">
      <alignment horizontal="right" vertical="center" wrapText="1"/>
    </xf>
    <xf numFmtId="0" fontId="56" fillId="39" borderId="10" xfId="0" applyFont="1" applyFill="1" applyBorder="1" applyAlignment="1">
      <alignment wrapText="1"/>
    </xf>
    <xf numFmtId="0" fontId="57" fillId="39" borderId="10" xfId="0" applyFont="1" applyFill="1" applyBorder="1" applyAlignment="1">
      <alignment/>
    </xf>
    <xf numFmtId="49" fontId="95" fillId="39" borderId="10" xfId="0" applyNumberFormat="1" applyFont="1" applyFill="1" applyBorder="1" applyAlignment="1">
      <alignment wrapText="1"/>
    </xf>
    <xf numFmtId="0" fontId="95" fillId="39" borderId="10" xfId="0" applyFont="1" applyFill="1" applyBorder="1" applyAlignment="1">
      <alignment/>
    </xf>
    <xf numFmtId="0" fontId="93" fillId="39" borderId="10" xfId="0" applyFont="1" applyFill="1" applyBorder="1" applyAlignment="1">
      <alignment horizontal="right" wrapText="1"/>
    </xf>
    <xf numFmtId="0" fontId="93" fillId="39" borderId="10" xfId="0" applyFont="1" applyFill="1" applyBorder="1" applyAlignment="1">
      <alignment horizontal="right"/>
    </xf>
    <xf numFmtId="49" fontId="106" fillId="39" borderId="10" xfId="0" applyNumberFormat="1" applyFont="1" applyFill="1" applyBorder="1" applyAlignment="1">
      <alignment wrapText="1"/>
    </xf>
    <xf numFmtId="0" fontId="106" fillId="39" borderId="10" xfId="0" applyFont="1" applyFill="1" applyBorder="1" applyAlignment="1">
      <alignment/>
    </xf>
    <xf numFmtId="0" fontId="107" fillId="39" borderId="10" xfId="0" applyFont="1" applyFill="1" applyBorder="1" applyAlignment="1">
      <alignment wrapText="1"/>
    </xf>
    <xf numFmtId="0" fontId="104" fillId="39" borderId="10" xfId="0" applyNumberFormat="1" applyFont="1" applyFill="1" applyBorder="1" applyAlignment="1">
      <alignment horizontal="right" vertical="center"/>
    </xf>
    <xf numFmtId="0" fontId="104" fillId="39" borderId="10" xfId="0" applyNumberFormat="1" applyFont="1" applyFill="1" applyBorder="1" applyAlignment="1">
      <alignment horizontal="right" vertical="center" wrapText="1"/>
    </xf>
    <xf numFmtId="0" fontId="85" fillId="39" borderId="10" xfId="0" applyNumberFormat="1" applyFont="1" applyFill="1" applyBorder="1" applyAlignment="1">
      <alignment horizontal="right" vertical="center" wrapText="1"/>
    </xf>
    <xf numFmtId="0" fontId="0" fillId="39" borderId="0" xfId="0" applyFill="1" applyAlignment="1">
      <alignment/>
    </xf>
    <xf numFmtId="0" fontId="0" fillId="39" borderId="0" xfId="0" applyFill="1" applyAlignment="1">
      <alignment wrapText="1"/>
    </xf>
    <xf numFmtId="0" fontId="6" fillId="39" borderId="10" xfId="0" applyFont="1" applyFill="1" applyBorder="1" applyAlignment="1">
      <alignment horizontal="justify" vertical="center"/>
    </xf>
    <xf numFmtId="0" fontId="6" fillId="39" borderId="1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39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39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0" fontId="85" fillId="39" borderId="11" xfId="0" applyNumberFormat="1" applyFont="1" applyFill="1" applyBorder="1" applyAlignment="1">
      <alignment horizontal="right" vertical="center"/>
    </xf>
    <xf numFmtId="0" fontId="6" fillId="41" borderId="10" xfId="0" applyFont="1" applyFill="1" applyBorder="1" applyAlignment="1">
      <alignment horizontal="justify" vertical="center"/>
    </xf>
    <xf numFmtId="0" fontId="8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4" fontId="5" fillId="39" borderId="10" xfId="0" applyNumberFormat="1" applyFont="1" applyFill="1" applyBorder="1" applyAlignment="1">
      <alignment horizontal="center" vertical="center"/>
    </xf>
    <xf numFmtId="4" fontId="90" fillId="34" borderId="0" xfId="0" applyNumberFormat="1" applyFont="1" applyFill="1" applyBorder="1" applyAlignment="1">
      <alignment horizontal="center" wrapText="1"/>
    </xf>
    <xf numFmtId="4" fontId="85" fillId="0" borderId="0" xfId="0" applyNumberFormat="1" applyFont="1" applyAlignment="1">
      <alignment wrapText="1"/>
    </xf>
    <xf numFmtId="4" fontId="88" fillId="37" borderId="0" xfId="0" applyNumberFormat="1" applyFont="1" applyFill="1" applyBorder="1" applyAlignment="1">
      <alignment wrapText="1"/>
    </xf>
    <xf numFmtId="4" fontId="85" fillId="37" borderId="0" xfId="0" applyNumberFormat="1" applyFont="1" applyFill="1" applyBorder="1" applyAlignment="1">
      <alignment wrapText="1"/>
    </xf>
    <xf numFmtId="4" fontId="88" fillId="33" borderId="10" xfId="0" applyNumberFormat="1" applyFont="1" applyFill="1" applyBorder="1" applyAlignment="1">
      <alignment wrapText="1"/>
    </xf>
    <xf numFmtId="4" fontId="44" fillId="34" borderId="10" xfId="0" applyNumberFormat="1" applyFont="1" applyFill="1" applyBorder="1" applyAlignment="1">
      <alignment horizontal="center" vertical="top" wrapText="1"/>
    </xf>
    <xf numFmtId="4" fontId="85" fillId="38" borderId="10" xfId="0" applyNumberFormat="1" applyFont="1" applyFill="1" applyBorder="1" applyAlignment="1">
      <alignment wrapText="1"/>
    </xf>
    <xf numFmtId="4" fontId="0" fillId="0" borderId="0" xfId="0" applyNumberFormat="1" applyAlignment="1">
      <alignment wrapText="1"/>
    </xf>
    <xf numFmtId="4" fontId="77" fillId="34" borderId="0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vertical="top" wrapText="1"/>
    </xf>
    <xf numFmtId="4" fontId="89" fillId="0" borderId="10" xfId="0" applyNumberFormat="1" applyFont="1" applyBorder="1" applyAlignment="1">
      <alignment horizontal="center" vertical="center" wrapText="1"/>
    </xf>
    <xf numFmtId="4" fontId="88" fillId="36" borderId="10" xfId="0" applyNumberFormat="1" applyFont="1" applyFill="1" applyBorder="1" applyAlignment="1">
      <alignment vertical="center" wrapText="1"/>
    </xf>
    <xf numFmtId="4" fontId="93" fillId="0" borderId="10" xfId="0" applyNumberFormat="1" applyFont="1" applyBorder="1" applyAlignment="1">
      <alignment horizontal="center" wrapText="1"/>
    </xf>
    <xf numFmtId="4" fontId="93" fillId="39" borderId="10" xfId="0" applyNumberFormat="1" applyFont="1" applyFill="1" applyBorder="1" applyAlignment="1">
      <alignment horizontal="center" wrapText="1"/>
    </xf>
    <xf numFmtId="4" fontId="85" fillId="0" borderId="10" xfId="0" applyNumberFormat="1" applyFont="1" applyBorder="1" applyAlignment="1">
      <alignment wrapText="1"/>
    </xf>
    <xf numFmtId="4" fontId="93" fillId="39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93" fillId="0" borderId="10" xfId="0" applyNumberFormat="1" applyFont="1" applyBorder="1" applyAlignment="1">
      <alignment horizontal="center"/>
    </xf>
    <xf numFmtId="4" fontId="93" fillId="0" borderId="10" xfId="0" applyNumberFormat="1" applyFont="1" applyBorder="1" applyAlignment="1">
      <alignment horizontal="center" vertical="center"/>
    </xf>
    <xf numFmtId="4" fontId="93" fillId="39" borderId="10" xfId="0" applyNumberFormat="1" applyFont="1" applyFill="1" applyBorder="1" applyAlignment="1">
      <alignment horizontal="center" vertical="center"/>
    </xf>
    <xf numFmtId="4" fontId="93" fillId="4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5" fillId="42" borderId="10" xfId="0" applyNumberFormat="1" applyFont="1" applyFill="1" applyBorder="1" applyAlignment="1">
      <alignment horizontal="center" vertical="center"/>
    </xf>
    <xf numFmtId="4" fontId="88" fillId="36" borderId="10" xfId="0" applyNumberFormat="1" applyFont="1" applyFill="1" applyBorder="1" applyAlignment="1">
      <alignment wrapText="1"/>
    </xf>
    <xf numFmtId="4" fontId="6" fillId="40" borderId="10" xfId="0" applyNumberFormat="1" applyFont="1" applyFill="1" applyBorder="1" applyAlignment="1">
      <alignment horizontal="center" vertical="center"/>
    </xf>
    <xf numFmtId="4" fontId="5" fillId="0" borderId="10" xfId="53" applyNumberFormat="1" applyFont="1" applyBorder="1" applyAlignment="1">
      <alignment horizontal="center" vertical="center"/>
      <protection/>
    </xf>
    <xf numFmtId="4" fontId="93" fillId="41" borderId="10" xfId="0" applyNumberFormat="1" applyFont="1" applyFill="1" applyBorder="1" applyAlignment="1">
      <alignment horizontal="center" vertical="center"/>
    </xf>
    <xf numFmtId="4" fontId="85" fillId="0" borderId="10" xfId="0" applyNumberFormat="1" applyFont="1" applyBorder="1" applyAlignment="1">
      <alignment/>
    </xf>
    <xf numFmtId="4" fontId="104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89" fillId="35" borderId="10" xfId="0" applyFont="1" applyFill="1" applyBorder="1" applyAlignment="1">
      <alignment horizontal="center" vertical="center" wrapText="1"/>
    </xf>
    <xf numFmtId="3" fontId="89" fillId="35" borderId="10" xfId="0" applyNumberFormat="1" applyFont="1" applyFill="1" applyBorder="1" applyAlignment="1">
      <alignment horizontal="center" vertical="center" wrapText="1"/>
    </xf>
    <xf numFmtId="4" fontId="89" fillId="3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/>
    </xf>
    <xf numFmtId="0" fontId="104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108" fillId="34" borderId="10" xfId="0" applyFont="1" applyFill="1" applyBorder="1" applyAlignment="1">
      <alignment wrapText="1"/>
    </xf>
    <xf numFmtId="0" fontId="77" fillId="34" borderId="10" xfId="0" applyFont="1" applyFill="1" applyBorder="1" applyAlignment="1">
      <alignment horizontal="center"/>
    </xf>
    <xf numFmtId="0" fontId="77" fillId="34" borderId="10" xfId="0" applyFont="1" applyFill="1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09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93" fillId="0" borderId="10" xfId="0" applyFont="1" applyBorder="1" applyAlignment="1">
      <alignment horizontal="left" wrapText="1"/>
    </xf>
    <xf numFmtId="0" fontId="84" fillId="0" borderId="0" xfId="0" applyFont="1" applyAlignment="1">
      <alignment horizontal="left" wrapText="1"/>
    </xf>
    <xf numFmtId="0" fontId="85" fillId="0" borderId="0" xfId="0" applyFont="1" applyAlignment="1">
      <alignment horizontal="left" wrapText="1"/>
    </xf>
    <xf numFmtId="0" fontId="86" fillId="33" borderId="0" xfId="0" applyFont="1" applyFill="1" applyBorder="1" applyAlignment="1">
      <alignment horizontal="left" wrapText="1"/>
    </xf>
    <xf numFmtId="0" fontId="44" fillId="34" borderId="0" xfId="0" applyFont="1" applyFill="1" applyBorder="1" applyAlignment="1">
      <alignment horizontal="left" vertical="top" wrapText="1"/>
    </xf>
    <xf numFmtId="0" fontId="91" fillId="35" borderId="0" xfId="0" applyFont="1" applyFill="1" applyBorder="1" applyAlignment="1" applyProtection="1">
      <alignment horizontal="left" wrapText="1"/>
      <protection/>
    </xf>
    <xf numFmtId="0" fontId="49" fillId="35" borderId="0" xfId="0" applyFont="1" applyFill="1" applyBorder="1" applyAlignment="1" applyProtection="1">
      <alignment horizontal="left" wrapText="1"/>
      <protection/>
    </xf>
    <xf numFmtId="0" fontId="8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3" fontId="93" fillId="0" borderId="10" xfId="0" applyNumberFormat="1" applyFont="1" applyBorder="1" applyAlignment="1">
      <alignment horizontal="left" wrapText="1"/>
    </xf>
    <xf numFmtId="0" fontId="85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0" fontId="5" fillId="42" borderId="10" xfId="0" applyFont="1" applyFill="1" applyBorder="1" applyAlignment="1">
      <alignment horizontal="left" vertical="center" wrapText="1"/>
    </xf>
    <xf numFmtId="3" fontId="85" fillId="0" borderId="10" xfId="0" applyNumberFormat="1" applyFont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93" fillId="40" borderId="10" xfId="0" applyFont="1" applyFill="1" applyBorder="1" applyAlignment="1">
      <alignment horizontal="left" vertical="center" wrapText="1"/>
    </xf>
    <xf numFmtId="0" fontId="93" fillId="39" borderId="10" xfId="0" applyFont="1" applyFill="1" applyBorder="1" applyAlignment="1">
      <alignment horizontal="left" wrapText="1"/>
    </xf>
    <xf numFmtId="0" fontId="93" fillId="0" borderId="10" xfId="0" applyFont="1" applyBorder="1" applyAlignment="1">
      <alignment horizontal="left" vertical="center" wrapText="1"/>
    </xf>
    <xf numFmtId="0" fontId="85" fillId="46" borderId="10" xfId="0" applyNumberFormat="1" applyFont="1" applyFill="1" applyBorder="1" applyAlignment="1">
      <alignment horizontal="right" vertical="center" wrapText="1"/>
    </xf>
    <xf numFmtId="0" fontId="93" fillId="39" borderId="10" xfId="0" applyFont="1" applyFill="1" applyBorder="1" applyAlignment="1">
      <alignment horizontal="center" wrapText="1"/>
    </xf>
    <xf numFmtId="0" fontId="106" fillId="0" borderId="10" xfId="0" applyFont="1" applyBorder="1" applyAlignment="1">
      <alignment/>
    </xf>
    <xf numFmtId="3" fontId="93" fillId="39" borderId="10" xfId="0" applyNumberFormat="1" applyFont="1" applyFill="1" applyBorder="1" applyAlignment="1">
      <alignment horizontal="left" vertical="center" wrapText="1"/>
    </xf>
    <xf numFmtId="4" fontId="106" fillId="0" borderId="10" xfId="0" applyNumberFormat="1" applyFont="1" applyBorder="1" applyAlignment="1">
      <alignment/>
    </xf>
    <xf numFmtId="0" fontId="93" fillId="46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93" fillId="0" borderId="10" xfId="0" applyFont="1" applyBorder="1" applyAlignment="1">
      <alignment vertical="center" wrapText="1"/>
    </xf>
    <xf numFmtId="0" fontId="93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33" fillId="34" borderId="10" xfId="0" applyFont="1" applyFill="1" applyBorder="1" applyAlignment="1">
      <alignment horizontal="right" wrapText="1"/>
    </xf>
    <xf numFmtId="3" fontId="110" fillId="34" borderId="10" xfId="0" applyNumberFormat="1" applyFont="1" applyFill="1" applyBorder="1" applyAlignment="1">
      <alignment vertical="center" wrapText="1"/>
    </xf>
    <xf numFmtId="4" fontId="110" fillId="34" borderId="10" xfId="0" applyNumberFormat="1" applyFont="1" applyFill="1" applyBorder="1" applyAlignment="1">
      <alignment vertical="center" wrapText="1"/>
    </xf>
    <xf numFmtId="0" fontId="85" fillId="34" borderId="10" xfId="0" applyFont="1" applyFill="1" applyBorder="1" applyAlignment="1">
      <alignment wrapText="1"/>
    </xf>
    <xf numFmtId="0" fontId="89" fillId="0" borderId="10" xfId="0" applyFont="1" applyBorder="1" applyAlignment="1">
      <alignment horizontal="left" vertical="center" wrapText="1"/>
    </xf>
    <xf numFmtId="0" fontId="85" fillId="36" borderId="10" xfId="0" applyFont="1" applyFill="1" applyBorder="1" applyAlignment="1">
      <alignment horizontal="left" wrapText="1"/>
    </xf>
    <xf numFmtId="0" fontId="88" fillId="36" borderId="10" xfId="0" applyFont="1" applyFill="1" applyBorder="1" applyAlignment="1">
      <alignment horizontal="left" wrapText="1"/>
    </xf>
    <xf numFmtId="3" fontId="92" fillId="0" borderId="10" xfId="0" applyNumberFormat="1" applyFont="1" applyBorder="1" applyAlignment="1">
      <alignment wrapText="1"/>
    </xf>
    <xf numFmtId="4" fontId="92" fillId="0" borderId="10" xfId="0" applyNumberFormat="1" applyFont="1" applyBorder="1" applyAlignment="1">
      <alignment wrapText="1"/>
    </xf>
    <xf numFmtId="0" fontId="88" fillId="36" borderId="10" xfId="0" applyFont="1" applyFill="1" applyBorder="1" applyAlignment="1">
      <alignment vertical="top" wrapText="1"/>
    </xf>
    <xf numFmtId="0" fontId="5" fillId="0" borderId="10" xfId="53" applyFont="1" applyBorder="1" applyAlignment="1">
      <alignment horizontal="left" vertical="center"/>
      <protection/>
    </xf>
    <xf numFmtId="0" fontId="93" fillId="41" borderId="10" xfId="0" applyFont="1" applyFill="1" applyBorder="1" applyAlignment="1">
      <alignment horizontal="left" vertical="center" wrapText="1"/>
    </xf>
    <xf numFmtId="3" fontId="93" fillId="39" borderId="10" xfId="0" applyNumberFormat="1" applyFont="1" applyFill="1" applyBorder="1" applyAlignment="1">
      <alignment horizontal="left" vertical="center"/>
    </xf>
    <xf numFmtId="0" fontId="85" fillId="0" borderId="10" xfId="0" applyFont="1" applyBorder="1" applyAlignment="1">
      <alignment horizontal="left"/>
    </xf>
    <xf numFmtId="0" fontId="104" fillId="0" borderId="10" xfId="0" applyFont="1" applyBorder="1" applyAlignment="1">
      <alignment horizontal="left" wrapText="1"/>
    </xf>
    <xf numFmtId="0" fontId="5" fillId="39" borderId="10" xfId="52" applyFont="1" applyFill="1" applyBorder="1" applyAlignment="1">
      <alignment wrapText="1"/>
      <protection/>
    </xf>
    <xf numFmtId="0" fontId="93" fillId="0" borderId="10" xfId="0" applyFont="1" applyFill="1" applyBorder="1" applyAlignment="1">
      <alignment horizontal="left" wrapText="1"/>
    </xf>
    <xf numFmtId="0" fontId="85" fillId="34" borderId="10" xfId="0" applyFont="1" applyFill="1" applyBorder="1" applyAlignment="1">
      <alignment horizontal="left" wrapText="1"/>
    </xf>
    <xf numFmtId="0" fontId="6" fillId="0" borderId="26" xfId="0" applyFont="1" applyBorder="1" applyAlignment="1">
      <alignment vertical="center" wrapText="1"/>
    </xf>
    <xf numFmtId="0" fontId="97" fillId="0" borderId="12" xfId="0" applyFont="1" applyBorder="1" applyAlignment="1">
      <alignment horizontal="center" vertical="center" wrapText="1"/>
    </xf>
    <xf numFmtId="0" fontId="97" fillId="0" borderId="13" xfId="0" applyFont="1" applyBorder="1" applyAlignment="1">
      <alignment horizontal="center" vertical="center" wrapText="1"/>
    </xf>
    <xf numFmtId="0" fontId="97" fillId="0" borderId="14" xfId="0" applyFont="1" applyBorder="1" applyAlignment="1">
      <alignment horizontal="center" vertical="center" wrapText="1"/>
    </xf>
    <xf numFmtId="0" fontId="97" fillId="0" borderId="15" xfId="0" applyFont="1" applyBorder="1" applyAlignment="1">
      <alignment horizontal="center" vertical="center" wrapText="1"/>
    </xf>
    <xf numFmtId="0" fontId="97" fillId="0" borderId="16" xfId="0" applyFont="1" applyBorder="1" applyAlignment="1">
      <alignment horizontal="center" vertical="center" wrapText="1"/>
    </xf>
    <xf numFmtId="0" fontId="97" fillId="0" borderId="17" xfId="0" applyFont="1" applyBorder="1" applyAlignment="1">
      <alignment horizontal="center" vertical="center" wrapText="1"/>
    </xf>
    <xf numFmtId="0" fontId="98" fillId="0" borderId="18" xfId="0" applyFont="1" applyBorder="1" applyAlignment="1">
      <alignment horizontal="center" vertical="center" wrapText="1"/>
    </xf>
    <xf numFmtId="0" fontId="98" fillId="0" borderId="19" xfId="0" applyFont="1" applyBorder="1" applyAlignment="1">
      <alignment horizontal="center" vertical="center" wrapText="1"/>
    </xf>
    <xf numFmtId="0" fontId="98" fillId="0" borderId="20" xfId="0" applyFont="1" applyBorder="1" applyAlignment="1">
      <alignment horizontal="center" vertical="center" wrapText="1"/>
    </xf>
    <xf numFmtId="0" fontId="99" fillId="0" borderId="12" xfId="0" applyFont="1" applyBorder="1" applyAlignment="1">
      <alignment horizontal="center" vertical="center" wrapText="1"/>
    </xf>
    <xf numFmtId="0" fontId="99" fillId="0" borderId="13" xfId="0" applyFont="1" applyBorder="1" applyAlignment="1">
      <alignment horizontal="center" vertical="center" wrapText="1"/>
    </xf>
    <xf numFmtId="0" fontId="99" fillId="0" borderId="14" xfId="0" applyFont="1" applyBorder="1" applyAlignment="1">
      <alignment horizontal="center" vertical="center" wrapText="1"/>
    </xf>
    <xf numFmtId="0" fontId="98" fillId="0" borderId="15" xfId="0" applyFont="1" applyBorder="1" applyAlignment="1">
      <alignment horizontal="center" vertical="center" wrapText="1"/>
    </xf>
    <xf numFmtId="0" fontId="98" fillId="0" borderId="16" xfId="0" applyFont="1" applyBorder="1" applyAlignment="1">
      <alignment horizontal="center" vertical="center" wrapText="1"/>
    </xf>
    <xf numFmtId="0" fontId="98" fillId="0" borderId="17" xfId="0" applyFont="1" applyBorder="1" applyAlignment="1">
      <alignment horizontal="center" vertical="center" wrapText="1"/>
    </xf>
    <xf numFmtId="0" fontId="105" fillId="0" borderId="24" xfId="0" applyFont="1" applyBorder="1" applyAlignment="1">
      <alignment vertical="center" wrapText="1"/>
    </xf>
    <xf numFmtId="0" fontId="105" fillId="0" borderId="23" xfId="0" applyFont="1" applyBorder="1" applyAlignment="1">
      <alignment vertical="center" wrapText="1"/>
    </xf>
    <xf numFmtId="0" fontId="111" fillId="0" borderId="18" xfId="0" applyFont="1" applyBorder="1" applyAlignment="1">
      <alignment horizontal="center" vertical="center" wrapText="1"/>
    </xf>
    <xf numFmtId="0" fontId="111" fillId="0" borderId="19" xfId="0" applyFont="1" applyBorder="1" applyAlignment="1">
      <alignment horizontal="center" vertical="center" wrapText="1"/>
    </xf>
    <xf numFmtId="0" fontId="111" fillId="0" borderId="20" xfId="0" applyFont="1" applyBorder="1" applyAlignment="1">
      <alignment horizontal="center" vertical="center" wrapText="1"/>
    </xf>
    <xf numFmtId="0" fontId="105" fillId="0" borderId="18" xfId="0" applyFont="1" applyBorder="1" applyAlignment="1">
      <alignment horizontal="center" vertical="center" wrapText="1"/>
    </xf>
    <xf numFmtId="0" fontId="105" fillId="0" borderId="19" xfId="0" applyFont="1" applyBorder="1" applyAlignment="1">
      <alignment horizontal="center" vertical="center" wrapText="1"/>
    </xf>
    <xf numFmtId="0" fontId="105" fillId="0" borderId="20" xfId="0" applyFont="1" applyBorder="1" applyAlignment="1">
      <alignment horizontal="center" vertical="center" wrapText="1"/>
    </xf>
    <xf numFmtId="0" fontId="112" fillId="0" borderId="12" xfId="0" applyFont="1" applyBorder="1" applyAlignment="1">
      <alignment horizontal="center" vertical="center" wrapText="1"/>
    </xf>
    <xf numFmtId="0" fontId="112" fillId="0" borderId="13" xfId="0" applyFont="1" applyBorder="1" applyAlignment="1">
      <alignment horizontal="center" vertical="center" wrapText="1"/>
    </xf>
    <xf numFmtId="0" fontId="112" fillId="0" borderId="14" xfId="0" applyFont="1" applyBorder="1" applyAlignment="1">
      <alignment horizontal="center" vertical="center" wrapText="1"/>
    </xf>
    <xf numFmtId="0" fontId="105" fillId="0" borderId="21" xfId="0" applyFont="1" applyBorder="1" applyAlignment="1">
      <alignment horizontal="center" vertical="center" wrapText="1"/>
    </xf>
    <xf numFmtId="0" fontId="105" fillId="0" borderId="0" xfId="0" applyFont="1" applyBorder="1" applyAlignment="1">
      <alignment horizontal="center" vertical="center" wrapText="1"/>
    </xf>
    <xf numFmtId="0" fontId="105" fillId="0" borderId="22" xfId="0" applyFont="1" applyBorder="1" applyAlignment="1">
      <alignment horizontal="center" vertical="center" wrapText="1"/>
    </xf>
    <xf numFmtId="0" fontId="105" fillId="0" borderId="15" xfId="0" applyFont="1" applyBorder="1" applyAlignment="1">
      <alignment horizontal="center" vertical="center" wrapText="1"/>
    </xf>
    <xf numFmtId="0" fontId="105" fillId="0" borderId="16" xfId="0" applyFont="1" applyBorder="1" applyAlignment="1">
      <alignment horizontal="center" vertical="center" wrapText="1"/>
    </xf>
    <xf numFmtId="0" fontId="105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3" fillId="0" borderId="18" xfId="0" applyFont="1" applyBorder="1" applyAlignment="1">
      <alignment horizontal="center" vertical="center" wrapText="1"/>
    </xf>
    <xf numFmtId="0" fontId="113" fillId="0" borderId="19" xfId="0" applyFont="1" applyBorder="1" applyAlignment="1">
      <alignment horizontal="center" vertical="center" wrapText="1"/>
    </xf>
    <xf numFmtId="0" fontId="113" fillId="0" borderId="20" xfId="0" applyFont="1" applyBorder="1" applyAlignment="1">
      <alignment horizontal="center" vertical="center" wrapText="1"/>
    </xf>
    <xf numFmtId="0" fontId="105" fillId="0" borderId="15" xfId="0" applyFont="1" applyBorder="1" applyAlignment="1">
      <alignment horizontal="justify" vertical="center" wrapText="1"/>
    </xf>
    <xf numFmtId="0" fontId="105" fillId="0" borderId="16" xfId="0" applyFont="1" applyBorder="1" applyAlignment="1">
      <alignment horizontal="justify" vertical="center" wrapText="1"/>
    </xf>
    <xf numFmtId="0" fontId="105" fillId="0" borderId="17" xfId="0" applyFont="1" applyBorder="1" applyAlignment="1">
      <alignment horizontal="justify" vertical="center" wrapText="1"/>
    </xf>
    <xf numFmtId="0" fontId="93" fillId="0" borderId="15" xfId="0" applyFont="1" applyBorder="1" applyAlignment="1">
      <alignment horizontal="center" vertical="center" wrapText="1"/>
    </xf>
    <xf numFmtId="0" fontId="93" fillId="0" borderId="16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8" fillId="37" borderId="15" xfId="0" applyFont="1" applyFill="1" applyBorder="1" applyAlignment="1">
      <alignment horizontal="center" vertical="center" wrapText="1"/>
    </xf>
    <xf numFmtId="0" fontId="98" fillId="37" borderId="16" xfId="0" applyFont="1" applyFill="1" applyBorder="1" applyAlignment="1">
      <alignment horizontal="center" vertical="center" wrapText="1"/>
    </xf>
    <xf numFmtId="0" fontId="98" fillId="37" borderId="17" xfId="0" applyFont="1" applyFill="1" applyBorder="1" applyAlignment="1">
      <alignment horizontal="center" vertical="center" wrapText="1"/>
    </xf>
    <xf numFmtId="0" fontId="113" fillId="8" borderId="15" xfId="0" applyFont="1" applyFill="1" applyBorder="1" applyAlignment="1">
      <alignment horizontal="center" vertical="center" wrapText="1"/>
    </xf>
    <xf numFmtId="0" fontId="113" fillId="8" borderId="16" xfId="0" applyFont="1" applyFill="1" applyBorder="1" applyAlignment="1">
      <alignment horizontal="center" vertical="center" wrapText="1"/>
    </xf>
    <xf numFmtId="0" fontId="113" fillId="8" borderId="17" xfId="0" applyFont="1" applyFill="1" applyBorder="1" applyAlignment="1">
      <alignment horizontal="center" vertical="center" wrapText="1"/>
    </xf>
    <xf numFmtId="0" fontId="97" fillId="37" borderId="12" xfId="0" applyFont="1" applyFill="1" applyBorder="1" applyAlignment="1">
      <alignment horizontal="center" vertical="center" wrapText="1"/>
    </xf>
    <xf numFmtId="0" fontId="97" fillId="37" borderId="13" xfId="0" applyFont="1" applyFill="1" applyBorder="1" applyAlignment="1">
      <alignment horizontal="center" vertical="center" wrapText="1"/>
    </xf>
    <xf numFmtId="0" fontId="97" fillId="37" borderId="14" xfId="0" applyFont="1" applyFill="1" applyBorder="1" applyAlignment="1">
      <alignment horizontal="center" vertical="center" wrapText="1"/>
    </xf>
    <xf numFmtId="0" fontId="97" fillId="37" borderId="15" xfId="0" applyFont="1" applyFill="1" applyBorder="1" applyAlignment="1">
      <alignment horizontal="center" vertical="center" wrapText="1"/>
    </xf>
    <xf numFmtId="0" fontId="97" fillId="37" borderId="16" xfId="0" applyFont="1" applyFill="1" applyBorder="1" applyAlignment="1">
      <alignment horizontal="center" vertical="center" wrapText="1"/>
    </xf>
    <xf numFmtId="0" fontId="97" fillId="37" borderId="17" xfId="0" applyFont="1" applyFill="1" applyBorder="1" applyAlignment="1">
      <alignment horizontal="center" vertical="center" wrapText="1"/>
    </xf>
    <xf numFmtId="0" fontId="98" fillId="37" borderId="18" xfId="0" applyFont="1" applyFill="1" applyBorder="1" applyAlignment="1">
      <alignment horizontal="center" vertical="center" wrapText="1"/>
    </xf>
    <xf numFmtId="0" fontId="98" fillId="37" borderId="19" xfId="0" applyFont="1" applyFill="1" applyBorder="1" applyAlignment="1">
      <alignment horizontal="center" vertical="center" wrapText="1"/>
    </xf>
    <xf numFmtId="0" fontId="98" fillId="37" borderId="2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97" fillId="33" borderId="15" xfId="0" applyFont="1" applyFill="1" applyBorder="1" applyAlignment="1">
      <alignment horizontal="center" vertical="center" wrapText="1"/>
    </xf>
    <xf numFmtId="0" fontId="97" fillId="33" borderId="16" xfId="0" applyFont="1" applyFill="1" applyBorder="1" applyAlignment="1">
      <alignment horizontal="center" vertical="center" wrapText="1"/>
    </xf>
    <xf numFmtId="0" fontId="97" fillId="33" borderId="17" xfId="0" applyFont="1" applyFill="1" applyBorder="1" applyAlignment="1">
      <alignment horizontal="center" vertical="center" wrapText="1"/>
    </xf>
    <xf numFmtId="0" fontId="98" fillId="33" borderId="18" xfId="0" applyFont="1" applyFill="1" applyBorder="1" applyAlignment="1">
      <alignment horizontal="center" vertical="center" wrapText="1"/>
    </xf>
    <xf numFmtId="0" fontId="98" fillId="33" borderId="19" xfId="0" applyFont="1" applyFill="1" applyBorder="1" applyAlignment="1">
      <alignment horizontal="center" vertical="center" wrapText="1"/>
    </xf>
    <xf numFmtId="0" fontId="98" fillId="33" borderId="20" xfId="0" applyFont="1" applyFill="1" applyBorder="1" applyAlignment="1">
      <alignment horizontal="center" vertical="center" wrapText="1"/>
    </xf>
    <xf numFmtId="0" fontId="99" fillId="33" borderId="12" xfId="0" applyFont="1" applyFill="1" applyBorder="1" applyAlignment="1">
      <alignment horizontal="center" vertical="center" wrapText="1"/>
    </xf>
    <xf numFmtId="0" fontId="99" fillId="33" borderId="13" xfId="0" applyFont="1" applyFill="1" applyBorder="1" applyAlignment="1">
      <alignment horizontal="center" vertical="center" wrapText="1"/>
    </xf>
    <xf numFmtId="0" fontId="99" fillId="33" borderId="14" xfId="0" applyFont="1" applyFill="1" applyBorder="1" applyAlignment="1">
      <alignment horizontal="center" vertical="center" wrapText="1"/>
    </xf>
    <xf numFmtId="0" fontId="99" fillId="37" borderId="12" xfId="0" applyFont="1" applyFill="1" applyBorder="1" applyAlignment="1">
      <alignment horizontal="center" vertical="center" wrapText="1"/>
    </xf>
    <xf numFmtId="0" fontId="99" fillId="37" borderId="13" xfId="0" applyFont="1" applyFill="1" applyBorder="1" applyAlignment="1">
      <alignment horizontal="center" vertical="center" wrapText="1"/>
    </xf>
    <xf numFmtId="0" fontId="99" fillId="37" borderId="14" xfId="0" applyFont="1" applyFill="1" applyBorder="1" applyAlignment="1">
      <alignment horizontal="center" vertical="center" wrapText="1"/>
    </xf>
    <xf numFmtId="0" fontId="97" fillId="37" borderId="21" xfId="0" applyFont="1" applyFill="1" applyBorder="1" applyAlignment="1">
      <alignment horizontal="center" vertical="center" wrapText="1"/>
    </xf>
    <xf numFmtId="0" fontId="97" fillId="37" borderId="0" xfId="0" applyFont="1" applyFill="1" applyBorder="1" applyAlignment="1">
      <alignment horizontal="center" vertical="center" wrapText="1"/>
    </xf>
    <xf numFmtId="0" fontId="97" fillId="37" borderId="22" xfId="0" applyFont="1" applyFill="1" applyBorder="1" applyAlignment="1">
      <alignment horizontal="center" vertical="center" wrapText="1"/>
    </xf>
    <xf numFmtId="0" fontId="105" fillId="8" borderId="21" xfId="0" applyFont="1" applyFill="1" applyBorder="1" applyAlignment="1">
      <alignment horizontal="center" vertical="center" wrapText="1"/>
    </xf>
    <xf numFmtId="0" fontId="105" fillId="8" borderId="0" xfId="0" applyFont="1" applyFill="1" applyBorder="1" applyAlignment="1">
      <alignment horizontal="center" vertical="center" wrapText="1"/>
    </xf>
    <xf numFmtId="0" fontId="105" fillId="8" borderId="22" xfId="0" applyFont="1" applyFill="1" applyBorder="1" applyAlignment="1">
      <alignment horizontal="center" vertical="center" wrapText="1"/>
    </xf>
    <xf numFmtId="0" fontId="98" fillId="8" borderId="18" xfId="0" applyFont="1" applyFill="1" applyBorder="1" applyAlignment="1">
      <alignment horizontal="center" vertical="center" wrapText="1"/>
    </xf>
    <xf numFmtId="0" fontId="98" fillId="8" borderId="19" xfId="0" applyFont="1" applyFill="1" applyBorder="1" applyAlignment="1">
      <alignment horizontal="center" vertical="center" wrapText="1"/>
    </xf>
    <xf numFmtId="0" fontId="98" fillId="8" borderId="20" xfId="0" applyFont="1" applyFill="1" applyBorder="1" applyAlignment="1">
      <alignment horizontal="center" vertical="center" wrapText="1"/>
    </xf>
    <xf numFmtId="0" fontId="99" fillId="8" borderId="12" xfId="0" applyFont="1" applyFill="1" applyBorder="1" applyAlignment="1">
      <alignment horizontal="center" vertical="center" wrapText="1"/>
    </xf>
    <xf numFmtId="0" fontId="99" fillId="8" borderId="13" xfId="0" applyFont="1" applyFill="1" applyBorder="1" applyAlignment="1">
      <alignment horizontal="center" vertical="center" wrapText="1"/>
    </xf>
    <xf numFmtId="0" fontId="99" fillId="8" borderId="14" xfId="0" applyFont="1" applyFill="1" applyBorder="1" applyAlignment="1">
      <alignment horizontal="center" vertical="center" wrapText="1"/>
    </xf>
    <xf numFmtId="0" fontId="113" fillId="8" borderId="21" xfId="0" applyFont="1" applyFill="1" applyBorder="1" applyAlignment="1">
      <alignment horizontal="center" vertical="center" wrapText="1"/>
    </xf>
    <xf numFmtId="0" fontId="113" fillId="8" borderId="0" xfId="0" applyFont="1" applyFill="1" applyBorder="1" applyAlignment="1">
      <alignment horizontal="center" vertical="center" wrapText="1"/>
    </xf>
    <xf numFmtId="0" fontId="113" fillId="8" borderId="22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4" xfId="52"/>
    <cellStyle name="Normalny 5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3"/>
  <sheetViews>
    <sheetView tabSelected="1" view="pageBreakPreview" zoomScaleNormal="95" zoomScaleSheetLayoutView="100" zoomScalePageLayoutView="0" workbookViewId="0" topLeftCell="A188">
      <selection activeCell="C200" sqref="C200"/>
    </sheetView>
  </sheetViews>
  <sheetFormatPr defaultColWidth="8.796875" defaultRowHeight="14.25"/>
  <cols>
    <col min="1" max="1" width="61" style="2" customWidth="1"/>
    <col min="2" max="2" width="17.09765625" style="31" customWidth="1"/>
    <col min="3" max="3" width="18.69921875" style="344" customWidth="1"/>
    <col min="4" max="4" width="14.59765625" style="344" customWidth="1"/>
    <col min="5" max="5" width="29" style="2" customWidth="1"/>
    <col min="6" max="6" width="31.5" style="390" customWidth="1"/>
    <col min="7" max="7" width="15.19921875" style="0" customWidth="1"/>
    <col min="8" max="8" width="11" style="0" customWidth="1"/>
    <col min="9" max="9" width="18.8984375" style="2" customWidth="1"/>
  </cols>
  <sheetData>
    <row r="1" spans="1:9" s="1" customFormat="1" ht="26.25">
      <c r="A1" s="13" t="s">
        <v>16</v>
      </c>
      <c r="B1" s="23" t="s">
        <v>163</v>
      </c>
      <c r="C1" s="337"/>
      <c r="D1" s="337"/>
      <c r="E1" s="5">
        <v>2017</v>
      </c>
      <c r="F1" s="383"/>
      <c r="I1" s="41"/>
    </row>
    <row r="2" spans="1:6" ht="15">
      <c r="A2" s="7"/>
      <c r="B2" s="24"/>
      <c r="C2" s="338"/>
      <c r="D2" s="338"/>
      <c r="E2" s="7"/>
      <c r="F2" s="384"/>
    </row>
    <row r="3" spans="1:13" ht="15">
      <c r="A3" s="14" t="s">
        <v>0</v>
      </c>
      <c r="B3" s="25">
        <v>2265052</v>
      </c>
      <c r="C3" s="339"/>
      <c r="D3" s="339"/>
      <c r="E3" s="7"/>
      <c r="F3" s="384"/>
      <c r="M3">
        <f>B3*0.014</f>
        <v>31710.728</v>
      </c>
    </row>
    <row r="4" spans="1:6" ht="15">
      <c r="A4" s="14" t="s">
        <v>18</v>
      </c>
      <c r="B4" s="26">
        <v>1585536</v>
      </c>
      <c r="C4" s="340"/>
      <c r="D4" s="340"/>
      <c r="E4" s="7"/>
      <c r="F4" s="384"/>
    </row>
    <row r="5" spans="1:6" ht="15">
      <c r="A5" s="14" t="s">
        <v>19</v>
      </c>
      <c r="B5" s="26">
        <v>113252</v>
      </c>
      <c r="C5" s="340"/>
      <c r="D5" s="340"/>
      <c r="E5" s="7"/>
      <c r="F5" s="384"/>
    </row>
    <row r="6" spans="1:6" ht="15">
      <c r="A6" s="14" t="s">
        <v>20</v>
      </c>
      <c r="B6" s="26">
        <v>45301</v>
      </c>
      <c r="C6" s="340"/>
      <c r="D6" s="340"/>
      <c r="E6" s="7"/>
      <c r="F6" s="384"/>
    </row>
    <row r="7" spans="1:6" ht="15">
      <c r="A7" s="14" t="s">
        <v>21</v>
      </c>
      <c r="B7" s="26">
        <v>45301</v>
      </c>
      <c r="C7" s="340"/>
      <c r="D7" s="340"/>
      <c r="E7" s="7"/>
      <c r="F7" s="384"/>
    </row>
    <row r="8" spans="1:6" ht="15">
      <c r="A8" s="15" t="s">
        <v>1</v>
      </c>
      <c r="B8" s="27">
        <v>475662</v>
      </c>
      <c r="C8" s="340"/>
      <c r="D8" s="340"/>
      <c r="E8" s="7"/>
      <c r="F8" s="384"/>
    </row>
    <row r="9" spans="1:6" ht="31.5">
      <c r="A9" s="16" t="s">
        <v>15</v>
      </c>
      <c r="B9" s="28">
        <f>SUM(B4:B8)</f>
        <v>2265052</v>
      </c>
      <c r="C9" s="341"/>
      <c r="D9" s="341"/>
      <c r="E9" s="8" t="str">
        <f>IF($B$9=$B$3,"DANE WPROWADZONE POPRAWNIE","DANE WPROWADZONE BŁĘDNIE")</f>
        <v>DANE WPROWADZONE POPRAWNIE</v>
      </c>
      <c r="F9" s="385"/>
    </row>
    <row r="10" spans="1:6" ht="15">
      <c r="A10" s="17"/>
      <c r="B10" s="24"/>
      <c r="C10" s="338"/>
      <c r="D10" s="338"/>
      <c r="E10" s="7"/>
      <c r="F10" s="384"/>
    </row>
    <row r="11" spans="1:6" ht="15">
      <c r="A11" s="17"/>
      <c r="B11" s="24"/>
      <c r="C11" s="338"/>
      <c r="D11" s="338"/>
      <c r="E11" s="7"/>
      <c r="F11" s="384"/>
    </row>
    <row r="12" spans="1:6" ht="15">
      <c r="A12" s="17"/>
      <c r="B12" s="24"/>
      <c r="C12" s="338"/>
      <c r="D12" s="338"/>
      <c r="E12" s="7"/>
      <c r="F12" s="384"/>
    </row>
    <row r="13" spans="1:6" ht="45">
      <c r="A13" s="18" t="s">
        <v>17</v>
      </c>
      <c r="B13" s="29" t="s">
        <v>25</v>
      </c>
      <c r="C13" s="342"/>
      <c r="D13" s="342"/>
      <c r="E13" s="9" t="s">
        <v>14</v>
      </c>
      <c r="F13" s="386"/>
    </row>
    <row r="14" spans="1:6" ht="24.75" customHeight="1">
      <c r="A14" s="19" t="s">
        <v>22</v>
      </c>
      <c r="B14" s="30">
        <f>$B30+$B61+$B70+$B94</f>
        <v>1586263</v>
      </c>
      <c r="C14" s="343"/>
      <c r="D14" s="343"/>
      <c r="E14" s="37" t="str">
        <f>IF(B14&gt;=B4,"LIMIT SPEŁNIONY POPRAWNIE","LIMIT NIE SPEŁNIONY POPRAWNIE !!!")</f>
        <v>LIMIT SPEŁNIONY POPRAWNIE</v>
      </c>
      <c r="F14" s="387"/>
    </row>
    <row r="15" spans="1:6" ht="16.5" customHeight="1">
      <c r="A15" s="19" t="s">
        <v>23</v>
      </c>
      <c r="B15" s="30">
        <f>$B130</f>
        <v>114752</v>
      </c>
      <c r="C15" s="343"/>
      <c r="D15" s="343"/>
      <c r="E15" s="37" t="str">
        <f>IF(B15&gt;=B5,"LIMIT SPEŁNIONY POPRAWNIE","LIMIT NIE SPEŁNIONY POPRAWNIE !!!")</f>
        <v>LIMIT SPEŁNIONY POPRAWNIE</v>
      </c>
      <c r="F15" s="387"/>
    </row>
    <row r="16" spans="1:6" ht="15">
      <c r="A16" s="19" t="s">
        <v>24</v>
      </c>
      <c r="B16" s="30">
        <f>$B203</f>
        <v>13000</v>
      </c>
      <c r="C16" s="343"/>
      <c r="D16" s="343"/>
      <c r="E16" s="38" t="str">
        <f>IF(B16&lt;=B6,"LIMIT SPEŁNIONY POPRAWNIE","LIMIT PRZEKROCZONY !!!")</f>
        <v>LIMIT SPEŁNIONY POPRAWNIE</v>
      </c>
      <c r="F16" s="388"/>
    </row>
    <row r="17" spans="1:6" ht="15">
      <c r="A17" s="19" t="s">
        <v>28</v>
      </c>
      <c r="B17" s="30">
        <f>$B208</f>
        <v>8378</v>
      </c>
      <c r="C17" s="343"/>
      <c r="D17" s="343"/>
      <c r="E17" s="37" t="str">
        <f>IF(B208&lt;=B7,"LIMIT SPEŁNIONY POPRAWNIE","LIMIT PRZEKROCZONY !!!")</f>
        <v>LIMIT SPEŁNIONY POPRAWNIE</v>
      </c>
      <c r="F17" s="387"/>
    </row>
    <row r="18" spans="5:6" ht="14.25">
      <c r="E18" s="3"/>
      <c r="F18" s="389"/>
    </row>
    <row r="19" spans="5:6" ht="14.25">
      <c r="E19" s="3"/>
      <c r="F19" s="389"/>
    </row>
    <row r="20" spans="5:6" ht="14.25">
      <c r="E20" s="3"/>
      <c r="F20" s="389"/>
    </row>
    <row r="21" spans="1:4" ht="15">
      <c r="A21" s="20" t="s">
        <v>31</v>
      </c>
      <c r="B21" s="36" t="s">
        <v>32</v>
      </c>
      <c r="C21" s="345"/>
      <c r="D21" s="345"/>
    </row>
    <row r="22" spans="1:4" ht="15">
      <c r="A22" s="19" t="s">
        <v>22</v>
      </c>
      <c r="B22" s="39">
        <f>$B$14*100/$B$9</f>
        <v>70.03207873373327</v>
      </c>
      <c r="C22" s="285"/>
      <c r="D22" s="285"/>
    </row>
    <row r="23" spans="1:4" ht="15">
      <c r="A23" s="19" t="s">
        <v>23</v>
      </c>
      <c r="B23" s="39">
        <f>$B$15*100/$B$3</f>
        <v>5.066197155738588</v>
      </c>
      <c r="C23" s="285"/>
      <c r="D23" s="285"/>
    </row>
    <row r="24" spans="1:4" ht="15">
      <c r="A24" s="19" t="s">
        <v>24</v>
      </c>
      <c r="B24" s="39">
        <f>$B$16*100/$B$3</f>
        <v>0.5739382583711102</v>
      </c>
      <c r="C24" s="285"/>
      <c r="D24" s="285"/>
    </row>
    <row r="25" spans="1:4" ht="15">
      <c r="A25" s="19" t="s">
        <v>28</v>
      </c>
      <c r="B25" s="39">
        <f>$B$17*100/$B$3</f>
        <v>0.36988113297178166</v>
      </c>
      <c r="C25" s="285"/>
      <c r="D25" s="285"/>
    </row>
    <row r="26" spans="1:6" ht="14.25">
      <c r="A26" s="4"/>
      <c r="B26" s="32"/>
      <c r="C26" s="346"/>
      <c r="D26" s="346"/>
      <c r="E26" s="4"/>
      <c r="F26" s="391"/>
    </row>
    <row r="27" spans="1:6" ht="14.25">
      <c r="A27" s="40" t="s">
        <v>33</v>
      </c>
      <c r="B27" s="32">
        <f>$B221-$B9</f>
        <v>0</v>
      </c>
      <c r="C27" s="346"/>
      <c r="D27" s="346"/>
      <c r="E27" s="4"/>
      <c r="F27" s="391"/>
    </row>
    <row r="28" spans="1:6" ht="14.25">
      <c r="A28" s="4"/>
      <c r="B28" s="32"/>
      <c r="C28" s="346"/>
      <c r="D28" s="346"/>
      <c r="E28" s="4"/>
      <c r="F28" s="391"/>
    </row>
    <row r="29" spans="1:14" s="10" customFormat="1" ht="37.5">
      <c r="A29" s="12" t="s">
        <v>11</v>
      </c>
      <c r="B29" s="33" t="s">
        <v>30</v>
      </c>
      <c r="C29" s="347" t="s">
        <v>321</v>
      </c>
      <c r="D29" s="347" t="s">
        <v>322</v>
      </c>
      <c r="E29" s="12" t="s">
        <v>12</v>
      </c>
      <c r="F29" s="418" t="s">
        <v>323</v>
      </c>
      <c r="G29" s="287"/>
      <c r="H29" s="287"/>
      <c r="I29" s="288"/>
      <c r="J29" s="288"/>
      <c r="K29" s="288"/>
      <c r="L29" s="288"/>
      <c r="M29" s="289"/>
      <c r="N29" s="289"/>
    </row>
    <row r="30" spans="1:14" s="6" customFormat="1" ht="30">
      <c r="A30" s="21" t="s">
        <v>26</v>
      </c>
      <c r="B30" s="35">
        <f>SUM(B31:B60)</f>
        <v>488816</v>
      </c>
      <c r="C30" s="348">
        <f>SUM(C31:C60)</f>
        <v>488300.0900000001</v>
      </c>
      <c r="D30" s="348">
        <f>SUM(D31:D60)</f>
        <v>515.9100000000001</v>
      </c>
      <c r="E30" s="19"/>
      <c r="F30" s="419"/>
      <c r="G30" s="290"/>
      <c r="H30" s="290"/>
      <c r="I30" s="291"/>
      <c r="J30" s="266"/>
      <c r="K30" s="266"/>
      <c r="L30" s="266"/>
      <c r="M30" s="266"/>
      <c r="N30" s="266"/>
    </row>
    <row r="31" spans="1:14" s="6" customFormat="1" ht="96.75" customHeight="1">
      <c r="A31" s="325" t="s">
        <v>34</v>
      </c>
      <c r="B31" s="44">
        <v>15000</v>
      </c>
      <c r="C31" s="336">
        <v>14777.93</v>
      </c>
      <c r="D31" s="336">
        <v>222.07</v>
      </c>
      <c r="E31" s="43" t="s">
        <v>35</v>
      </c>
      <c r="F31" s="48" t="s">
        <v>504</v>
      </c>
      <c r="G31" s="290"/>
      <c r="H31" s="290"/>
      <c r="I31" s="291"/>
      <c r="J31" s="266"/>
      <c r="K31" s="286"/>
      <c r="L31" s="286"/>
      <c r="M31" s="266"/>
      <c r="N31" s="266"/>
    </row>
    <row r="32" spans="1:14" s="6" customFormat="1" ht="97.5" customHeight="1">
      <c r="A32" s="81" t="s">
        <v>36</v>
      </c>
      <c r="B32" s="44">
        <v>40000</v>
      </c>
      <c r="C32" s="336">
        <v>39775.61</v>
      </c>
      <c r="D32" s="336">
        <v>224.39</v>
      </c>
      <c r="E32" s="46" t="s">
        <v>35</v>
      </c>
      <c r="F32" s="392" t="s">
        <v>505</v>
      </c>
      <c r="G32" s="290"/>
      <c r="H32" s="290"/>
      <c r="I32" s="291"/>
      <c r="J32" s="266"/>
      <c r="K32" s="286"/>
      <c r="L32" s="286"/>
      <c r="M32" s="266"/>
      <c r="N32" s="266"/>
    </row>
    <row r="33" spans="1:14" s="6" customFormat="1" ht="83.25" customHeight="1">
      <c r="A33" s="325" t="s">
        <v>325</v>
      </c>
      <c r="B33" s="44">
        <v>50000</v>
      </c>
      <c r="C33" s="336">
        <v>49999.7</v>
      </c>
      <c r="D33" s="336">
        <v>0.3</v>
      </c>
      <c r="E33" s="43" t="s">
        <v>37</v>
      </c>
      <c r="F33" s="48" t="s">
        <v>439</v>
      </c>
      <c r="G33" s="282"/>
      <c r="H33" s="282"/>
      <c r="I33" s="265"/>
      <c r="J33" s="266"/>
      <c r="K33" s="286"/>
      <c r="L33" s="286"/>
      <c r="M33" s="266"/>
      <c r="N33" s="266"/>
    </row>
    <row r="34" spans="1:14" s="6" customFormat="1" ht="46.5" customHeight="1">
      <c r="A34" s="325" t="s">
        <v>326</v>
      </c>
      <c r="B34" s="44">
        <v>10000</v>
      </c>
      <c r="C34" s="336">
        <v>10000</v>
      </c>
      <c r="D34" s="336">
        <v>0</v>
      </c>
      <c r="E34" s="43" t="s">
        <v>37</v>
      </c>
      <c r="F34" s="48" t="s">
        <v>372</v>
      </c>
      <c r="G34" s="282"/>
      <c r="H34" s="282"/>
      <c r="I34" s="265"/>
      <c r="J34" s="266"/>
      <c r="K34" s="286"/>
      <c r="L34" s="286"/>
      <c r="M34" s="266"/>
      <c r="N34" s="266"/>
    </row>
    <row r="35" spans="1:14" s="6" customFormat="1" ht="105.75" customHeight="1">
      <c r="A35" s="325" t="s">
        <v>327</v>
      </c>
      <c r="B35" s="44">
        <v>30000</v>
      </c>
      <c r="C35" s="336">
        <v>29999.89</v>
      </c>
      <c r="D35" s="336">
        <v>0.11</v>
      </c>
      <c r="E35" s="43" t="s">
        <v>37</v>
      </c>
      <c r="F35" s="48" t="s">
        <v>374</v>
      </c>
      <c r="G35" s="282"/>
      <c r="H35" s="282"/>
      <c r="I35" s="265"/>
      <c r="J35" s="266"/>
      <c r="K35" s="286"/>
      <c r="L35" s="286"/>
      <c r="M35" s="266"/>
      <c r="N35" s="266"/>
    </row>
    <row r="36" spans="1:14" s="6" customFormat="1" ht="69" customHeight="1">
      <c r="A36" s="325" t="s">
        <v>328</v>
      </c>
      <c r="B36" s="44">
        <v>50000</v>
      </c>
      <c r="C36" s="336">
        <v>49988.83</v>
      </c>
      <c r="D36" s="336">
        <v>11.17</v>
      </c>
      <c r="E36" s="43" t="s">
        <v>37</v>
      </c>
      <c r="F36" s="48" t="s">
        <v>506</v>
      </c>
      <c r="G36" s="282"/>
      <c r="H36" s="282"/>
      <c r="I36" s="265"/>
      <c r="J36" s="266"/>
      <c r="K36" s="286"/>
      <c r="L36" s="286"/>
      <c r="M36" s="266"/>
      <c r="N36" s="266"/>
    </row>
    <row r="37" spans="1:14" s="6" customFormat="1" ht="72.75" customHeight="1">
      <c r="A37" s="325" t="s">
        <v>329</v>
      </c>
      <c r="B37" s="44">
        <v>60000</v>
      </c>
      <c r="C37" s="336">
        <v>60000</v>
      </c>
      <c r="D37" s="336">
        <v>0</v>
      </c>
      <c r="E37" s="43" t="s">
        <v>37</v>
      </c>
      <c r="F37" s="48" t="s">
        <v>507</v>
      </c>
      <c r="G37" s="282"/>
      <c r="H37" s="282"/>
      <c r="I37" s="265"/>
      <c r="J37" s="266"/>
      <c r="K37" s="286"/>
      <c r="L37" s="286"/>
      <c r="M37" s="266"/>
      <c r="N37" s="266"/>
    </row>
    <row r="38" spans="1:14" s="6" customFormat="1" ht="35.25" customHeight="1">
      <c r="A38" s="325" t="s">
        <v>38</v>
      </c>
      <c r="B38" s="44">
        <v>5000</v>
      </c>
      <c r="C38" s="336">
        <v>4981.5</v>
      </c>
      <c r="D38" s="336">
        <v>18.5</v>
      </c>
      <c r="E38" s="43" t="s">
        <v>37</v>
      </c>
      <c r="F38" s="48" t="s">
        <v>376</v>
      </c>
      <c r="G38" s="290"/>
      <c r="H38" s="290"/>
      <c r="I38" s="291"/>
      <c r="J38" s="266"/>
      <c r="K38" s="286"/>
      <c r="L38" s="286"/>
      <c r="M38" s="266"/>
      <c r="N38" s="266"/>
    </row>
    <row r="39" spans="1:14" s="6" customFormat="1" ht="25.5">
      <c r="A39" s="325" t="s">
        <v>330</v>
      </c>
      <c r="B39" s="44">
        <v>4000</v>
      </c>
      <c r="C39" s="336">
        <v>3988.09</v>
      </c>
      <c r="D39" s="336">
        <v>11.91</v>
      </c>
      <c r="E39" s="43" t="s">
        <v>37</v>
      </c>
      <c r="F39" s="48" t="s">
        <v>368</v>
      </c>
      <c r="G39" s="282"/>
      <c r="H39" s="282"/>
      <c r="I39" s="265"/>
      <c r="J39" s="266"/>
      <c r="K39" s="286"/>
      <c r="L39" s="286"/>
      <c r="M39" s="266"/>
      <c r="N39" s="266"/>
    </row>
    <row r="40" spans="1:14" s="6" customFormat="1" ht="78.75" customHeight="1">
      <c r="A40" s="325" t="s">
        <v>331</v>
      </c>
      <c r="B40" s="44">
        <v>4000</v>
      </c>
      <c r="C40" s="336">
        <v>3995.88</v>
      </c>
      <c r="D40" s="336">
        <v>4.12</v>
      </c>
      <c r="E40" s="43" t="s">
        <v>37</v>
      </c>
      <c r="F40" s="48" t="s">
        <v>373</v>
      </c>
      <c r="G40" s="282"/>
      <c r="H40" s="282"/>
      <c r="I40" s="265"/>
      <c r="J40" s="266"/>
      <c r="K40" s="286"/>
      <c r="L40" s="286"/>
      <c r="M40" s="266"/>
      <c r="N40" s="266"/>
    </row>
    <row r="41" spans="1:14" s="6" customFormat="1" ht="15">
      <c r="A41" s="325" t="s">
        <v>332</v>
      </c>
      <c r="B41" s="44">
        <f>30000+4000+2000</f>
        <v>36000</v>
      </c>
      <c r="C41" s="336">
        <v>35999.56</v>
      </c>
      <c r="D41" s="336">
        <v>0.44</v>
      </c>
      <c r="E41" s="43" t="s">
        <v>37</v>
      </c>
      <c r="F41" s="48" t="s">
        <v>369</v>
      </c>
      <c r="G41" s="264"/>
      <c r="H41" s="264"/>
      <c r="I41" s="265"/>
      <c r="J41" s="266"/>
      <c r="K41" s="286"/>
      <c r="L41" s="286"/>
      <c r="M41" s="266"/>
      <c r="N41" s="266"/>
    </row>
    <row r="42" spans="1:14" s="6" customFormat="1" ht="15">
      <c r="A42" s="325" t="s">
        <v>333</v>
      </c>
      <c r="B42" s="44">
        <v>35000</v>
      </c>
      <c r="C42" s="336">
        <v>34999.96</v>
      </c>
      <c r="D42" s="336">
        <v>0.04</v>
      </c>
      <c r="E42" s="43" t="s">
        <v>37</v>
      </c>
      <c r="F42" s="48" t="s">
        <v>370</v>
      </c>
      <c r="G42" s="282"/>
      <c r="H42" s="282"/>
      <c r="I42" s="265"/>
      <c r="J42" s="266"/>
      <c r="K42" s="286"/>
      <c r="L42" s="286"/>
      <c r="M42" s="266"/>
      <c r="N42" s="266"/>
    </row>
    <row r="43" spans="1:14" s="6" customFormat="1" ht="15">
      <c r="A43" s="325" t="s">
        <v>334</v>
      </c>
      <c r="B43" s="44">
        <v>3000</v>
      </c>
      <c r="C43" s="336">
        <v>2999.37</v>
      </c>
      <c r="D43" s="336">
        <v>0.63</v>
      </c>
      <c r="E43" s="43" t="s">
        <v>37</v>
      </c>
      <c r="F43" s="48" t="s">
        <v>371</v>
      </c>
      <c r="G43" s="282"/>
      <c r="H43" s="282"/>
      <c r="I43" s="265"/>
      <c r="J43" s="266"/>
      <c r="K43" s="286"/>
      <c r="L43" s="286"/>
      <c r="M43" s="266"/>
      <c r="N43" s="266"/>
    </row>
    <row r="44" spans="1:14" s="6" customFormat="1" ht="15">
      <c r="A44" s="325" t="s">
        <v>39</v>
      </c>
      <c r="B44" s="44">
        <f>5000-102</f>
        <v>4898</v>
      </c>
      <c r="C44" s="336">
        <v>4898</v>
      </c>
      <c r="D44" s="336">
        <v>0</v>
      </c>
      <c r="E44" s="43" t="s">
        <v>40</v>
      </c>
      <c r="F44" s="48" t="s">
        <v>382</v>
      </c>
      <c r="G44" s="282"/>
      <c r="H44" s="282"/>
      <c r="I44" s="265"/>
      <c r="J44" s="266"/>
      <c r="K44" s="286"/>
      <c r="L44" s="286"/>
      <c r="M44" s="266"/>
      <c r="N44" s="266"/>
    </row>
    <row r="45" spans="1:14" s="6" customFormat="1" ht="32.25" customHeight="1">
      <c r="A45" s="325" t="s">
        <v>41</v>
      </c>
      <c r="B45" s="44">
        <f>8000+7316+10000+15000+6500-1023</f>
        <v>45793</v>
      </c>
      <c r="C45" s="336">
        <v>45793</v>
      </c>
      <c r="D45" s="336">
        <v>0</v>
      </c>
      <c r="E45" s="43" t="s">
        <v>40</v>
      </c>
      <c r="F45" s="48" t="s">
        <v>383</v>
      </c>
      <c r="G45" s="282"/>
      <c r="H45" s="282"/>
      <c r="I45" s="265"/>
      <c r="J45" s="266"/>
      <c r="K45" s="286"/>
      <c r="L45" s="286"/>
      <c r="M45" s="266"/>
      <c r="N45" s="266"/>
    </row>
    <row r="46" spans="1:14" s="6" customFormat="1" ht="15">
      <c r="A46" s="325" t="s">
        <v>42</v>
      </c>
      <c r="B46" s="44">
        <f>15000-112</f>
        <v>14888</v>
      </c>
      <c r="C46" s="336">
        <v>14888</v>
      </c>
      <c r="D46" s="336">
        <v>0</v>
      </c>
      <c r="E46" s="43" t="s">
        <v>40</v>
      </c>
      <c r="F46" s="48" t="s">
        <v>384</v>
      </c>
      <c r="G46" s="282"/>
      <c r="H46" s="282"/>
      <c r="I46" s="265"/>
      <c r="J46" s="266"/>
      <c r="K46" s="286"/>
      <c r="L46" s="286"/>
      <c r="M46" s="266"/>
      <c r="N46" s="266"/>
    </row>
    <row r="47" spans="1:14" s="6" customFormat="1" ht="15">
      <c r="A47" s="325" t="s">
        <v>43</v>
      </c>
      <c r="B47" s="44">
        <f>15000-215</f>
        <v>14785</v>
      </c>
      <c r="C47" s="336">
        <v>14784</v>
      </c>
      <c r="D47" s="336">
        <v>1</v>
      </c>
      <c r="E47" s="43" t="s">
        <v>40</v>
      </c>
      <c r="F47" s="48" t="s">
        <v>385</v>
      </c>
      <c r="G47" s="282"/>
      <c r="H47" s="282"/>
      <c r="I47" s="265"/>
      <c r="J47" s="266"/>
      <c r="K47" s="286"/>
      <c r="L47" s="286"/>
      <c r="M47" s="266"/>
      <c r="N47" s="266"/>
    </row>
    <row r="48" spans="1:14" s="6" customFormat="1" ht="25.5">
      <c r="A48" s="325" t="s">
        <v>364</v>
      </c>
      <c r="B48" s="44">
        <v>2000</v>
      </c>
      <c r="C48" s="336">
        <v>1999.59</v>
      </c>
      <c r="D48" s="336">
        <v>0.41</v>
      </c>
      <c r="E48" s="43" t="s">
        <v>37</v>
      </c>
      <c r="F48" s="48" t="s">
        <v>365</v>
      </c>
      <c r="G48" s="282"/>
      <c r="H48" s="282"/>
      <c r="I48" s="265"/>
      <c r="J48" s="266"/>
      <c r="K48" s="286"/>
      <c r="L48" s="286"/>
      <c r="M48" s="266"/>
      <c r="N48" s="266"/>
    </row>
    <row r="49" spans="1:14" s="6" customFormat="1" ht="31.5" customHeight="1">
      <c r="A49" s="325" t="s">
        <v>335</v>
      </c>
      <c r="B49" s="44">
        <v>1500</v>
      </c>
      <c r="C49" s="336">
        <v>1499.99</v>
      </c>
      <c r="D49" s="336">
        <v>0.01</v>
      </c>
      <c r="E49" s="43" t="s">
        <v>37</v>
      </c>
      <c r="F49" s="48" t="s">
        <v>436</v>
      </c>
      <c r="G49" s="282"/>
      <c r="H49" s="282"/>
      <c r="I49" s="265"/>
      <c r="J49" s="266"/>
      <c r="K49" s="286"/>
      <c r="L49" s="286"/>
      <c r="M49" s="266"/>
      <c r="N49" s="266"/>
    </row>
    <row r="50" spans="1:14" s="6" customFormat="1" ht="25.5">
      <c r="A50" s="325" t="s">
        <v>336</v>
      </c>
      <c r="B50" s="44">
        <v>4000</v>
      </c>
      <c r="C50" s="336">
        <v>3999.5</v>
      </c>
      <c r="D50" s="336">
        <v>0.5</v>
      </c>
      <c r="E50" s="43" t="s">
        <v>37</v>
      </c>
      <c r="F50" s="48" t="s">
        <v>366</v>
      </c>
      <c r="G50" s="282"/>
      <c r="H50" s="282"/>
      <c r="I50" s="265"/>
      <c r="J50" s="266"/>
      <c r="K50" s="286"/>
      <c r="L50" s="286"/>
      <c r="M50" s="266"/>
      <c r="N50" s="266"/>
    </row>
    <row r="51" spans="1:14" s="6" customFormat="1" ht="38.25">
      <c r="A51" s="325" t="s">
        <v>44</v>
      </c>
      <c r="B51" s="44">
        <v>10000</v>
      </c>
      <c r="C51" s="336">
        <v>9984.23</v>
      </c>
      <c r="D51" s="336">
        <v>15.77</v>
      </c>
      <c r="E51" s="43" t="s">
        <v>37</v>
      </c>
      <c r="F51" s="48" t="s">
        <v>432</v>
      </c>
      <c r="G51" s="290"/>
      <c r="H51" s="290"/>
      <c r="I51" s="291"/>
      <c r="J51" s="266"/>
      <c r="K51" s="286"/>
      <c r="L51" s="286"/>
      <c r="M51" s="266"/>
      <c r="N51" s="266"/>
    </row>
    <row r="52" spans="1:14" s="6" customFormat="1" ht="25.5">
      <c r="A52" s="325" t="s">
        <v>337</v>
      </c>
      <c r="B52" s="44">
        <v>500</v>
      </c>
      <c r="C52" s="336">
        <v>499.8</v>
      </c>
      <c r="D52" s="336">
        <v>0.2</v>
      </c>
      <c r="E52" s="43" t="s">
        <v>37</v>
      </c>
      <c r="F52" s="48" t="s">
        <v>367</v>
      </c>
      <c r="G52" s="282"/>
      <c r="H52" s="282"/>
      <c r="I52" s="265"/>
      <c r="J52" s="266"/>
      <c r="K52" s="286"/>
      <c r="L52" s="286"/>
      <c r="M52" s="266"/>
      <c r="N52" s="266"/>
    </row>
    <row r="53" spans="1:14" s="6" customFormat="1" ht="47.25" customHeight="1">
      <c r="A53" s="325" t="s">
        <v>358</v>
      </c>
      <c r="B53" s="44">
        <v>15000</v>
      </c>
      <c r="C53" s="336">
        <v>14999.15</v>
      </c>
      <c r="D53" s="336">
        <v>0.85</v>
      </c>
      <c r="E53" s="43" t="s">
        <v>37</v>
      </c>
      <c r="F53" s="48" t="s">
        <v>508</v>
      </c>
      <c r="G53" s="282"/>
      <c r="H53" s="282"/>
      <c r="I53" s="265"/>
      <c r="J53" s="266"/>
      <c r="K53" s="286"/>
      <c r="L53" s="286"/>
      <c r="M53" s="266"/>
      <c r="N53" s="266"/>
    </row>
    <row r="54" spans="1:14" s="6" customFormat="1" ht="15">
      <c r="A54" s="326" t="s">
        <v>359</v>
      </c>
      <c r="B54" s="44">
        <v>10000</v>
      </c>
      <c r="C54" s="336">
        <v>10000</v>
      </c>
      <c r="D54" s="336">
        <v>0</v>
      </c>
      <c r="E54" s="43" t="s">
        <v>37</v>
      </c>
      <c r="F54" s="48" t="s">
        <v>375</v>
      </c>
      <c r="G54" s="282"/>
      <c r="H54" s="282"/>
      <c r="I54" s="265"/>
      <c r="J54" s="266"/>
      <c r="K54" s="286"/>
      <c r="L54" s="286"/>
      <c r="M54" s="266"/>
      <c r="N54" s="266"/>
    </row>
    <row r="55" spans="1:14" s="6" customFormat="1" ht="25.5">
      <c r="A55" s="326" t="s">
        <v>45</v>
      </c>
      <c r="B55" s="44">
        <v>5000</v>
      </c>
      <c r="C55" s="336">
        <v>5000</v>
      </c>
      <c r="D55" s="336">
        <v>0</v>
      </c>
      <c r="E55" s="43" t="s">
        <v>40</v>
      </c>
      <c r="F55" s="48" t="s">
        <v>390</v>
      </c>
      <c r="G55" s="290"/>
      <c r="H55" s="290"/>
      <c r="I55" s="291"/>
      <c r="J55" s="266"/>
      <c r="K55" s="286"/>
      <c r="L55" s="286"/>
      <c r="M55" s="266"/>
      <c r="N55" s="266"/>
    </row>
    <row r="56" spans="1:14" s="6" customFormat="1" ht="36.75" customHeight="1">
      <c r="A56" s="325" t="s">
        <v>338</v>
      </c>
      <c r="B56" s="44">
        <v>6000</v>
      </c>
      <c r="C56" s="336">
        <v>6000</v>
      </c>
      <c r="D56" s="336">
        <v>0</v>
      </c>
      <c r="E56" s="43" t="s">
        <v>37</v>
      </c>
      <c r="F56" s="48" t="s">
        <v>438</v>
      </c>
      <c r="G56" s="282"/>
      <c r="H56" s="282"/>
      <c r="I56" s="265"/>
      <c r="J56" s="266"/>
      <c r="K56" s="286"/>
      <c r="L56" s="286"/>
      <c r="M56" s="266"/>
      <c r="N56" s="266"/>
    </row>
    <row r="57" spans="1:14" s="6" customFormat="1" ht="24" customHeight="1">
      <c r="A57" s="325" t="s">
        <v>339</v>
      </c>
      <c r="B57" s="44">
        <v>1000</v>
      </c>
      <c r="C57" s="336">
        <v>1000</v>
      </c>
      <c r="D57" s="336">
        <v>0</v>
      </c>
      <c r="E57" s="43" t="s">
        <v>37</v>
      </c>
      <c r="F57" s="48" t="s">
        <v>509</v>
      </c>
      <c r="G57" s="282"/>
      <c r="H57" s="282"/>
      <c r="I57" s="265"/>
      <c r="J57" s="266"/>
      <c r="K57" s="286"/>
      <c r="L57" s="286"/>
      <c r="M57" s="266"/>
      <c r="N57" s="266"/>
    </row>
    <row r="58" spans="1:14" s="6" customFormat="1" ht="39">
      <c r="A58" s="327" t="s">
        <v>261</v>
      </c>
      <c r="B58" s="229">
        <v>10000</v>
      </c>
      <c r="C58" s="349">
        <v>9996.51</v>
      </c>
      <c r="D58" s="349">
        <v>3.49</v>
      </c>
      <c r="E58" s="229" t="s">
        <v>37</v>
      </c>
      <c r="F58" s="393" t="s">
        <v>437</v>
      </c>
      <c r="G58" s="282"/>
      <c r="H58" s="282"/>
      <c r="I58" s="265"/>
      <c r="J58" s="266"/>
      <c r="K58" s="286"/>
      <c r="L58" s="286"/>
      <c r="M58" s="266"/>
      <c r="N58" s="266"/>
    </row>
    <row r="59" spans="1:14" s="267" customFormat="1" ht="26.25">
      <c r="A59" s="328" t="s">
        <v>316</v>
      </c>
      <c r="B59" s="228">
        <v>1452</v>
      </c>
      <c r="C59" s="350">
        <v>1452</v>
      </c>
      <c r="D59" s="350">
        <v>0</v>
      </c>
      <c r="E59" s="280" t="s">
        <v>40</v>
      </c>
      <c r="F59" s="400" t="s">
        <v>386</v>
      </c>
      <c r="G59" s="282"/>
      <c r="H59" s="282"/>
      <c r="I59" s="281"/>
      <c r="J59" s="266"/>
      <c r="K59" s="286"/>
      <c r="L59" s="286"/>
      <c r="M59" s="266"/>
      <c r="N59" s="266"/>
    </row>
    <row r="60" spans="1:14" s="6" customFormat="1" ht="15">
      <c r="A60" s="65"/>
      <c r="B60" s="67"/>
      <c r="C60" s="351"/>
      <c r="D60" s="351"/>
      <c r="E60" s="66"/>
      <c r="F60" s="394"/>
      <c r="G60" s="290"/>
      <c r="H60" s="290"/>
      <c r="I60" s="291"/>
      <c r="J60" s="266"/>
      <c r="K60" s="286"/>
      <c r="L60" s="286"/>
      <c r="M60" s="266"/>
      <c r="N60" s="266"/>
    </row>
    <row r="61" spans="1:14" s="6" customFormat="1" ht="30">
      <c r="A61" s="22" t="s">
        <v>2</v>
      </c>
      <c r="B61" s="35">
        <f>SUM(B62:B68)</f>
        <v>169870</v>
      </c>
      <c r="C61" s="348">
        <f>SUM(C62:C69)</f>
        <v>169613.99</v>
      </c>
      <c r="D61" s="348">
        <f>SUM(D62:D69)</f>
        <v>256.01</v>
      </c>
      <c r="E61" s="19"/>
      <c r="F61" s="419"/>
      <c r="G61" s="290"/>
      <c r="H61" s="290"/>
      <c r="I61" s="291"/>
      <c r="J61" s="266"/>
      <c r="K61" s="286"/>
      <c r="L61" s="286"/>
      <c r="M61" s="266"/>
      <c r="N61" s="266"/>
    </row>
    <row r="62" spans="1:14" s="6" customFormat="1" ht="78" customHeight="1">
      <c r="A62" s="68" t="s">
        <v>229</v>
      </c>
      <c r="B62" s="71">
        <f>48500-12175-20000</f>
        <v>16325</v>
      </c>
      <c r="C62" s="357">
        <v>16325</v>
      </c>
      <c r="D62" s="357">
        <v>0</v>
      </c>
      <c r="E62" s="78" t="s">
        <v>46</v>
      </c>
      <c r="F62" s="69" t="s">
        <v>510</v>
      </c>
      <c r="G62" s="293"/>
      <c r="H62" s="293"/>
      <c r="I62" s="294"/>
      <c r="J62" s="295"/>
      <c r="K62" s="296"/>
      <c r="L62" s="286"/>
      <c r="M62" s="266"/>
      <c r="N62" s="266"/>
    </row>
    <row r="63" spans="1:14" s="6" customFormat="1" ht="67.5" customHeight="1">
      <c r="A63" s="68" t="s">
        <v>47</v>
      </c>
      <c r="B63" s="71">
        <f>10000+15000</f>
        <v>25000</v>
      </c>
      <c r="C63" s="357">
        <v>24969</v>
      </c>
      <c r="D63" s="357">
        <v>31</v>
      </c>
      <c r="E63" s="78" t="s">
        <v>46</v>
      </c>
      <c r="F63" s="69" t="s">
        <v>440</v>
      </c>
      <c r="G63" s="282"/>
      <c r="H63" s="282"/>
      <c r="I63" s="265"/>
      <c r="J63" s="47"/>
      <c r="K63" s="286"/>
      <c r="L63" s="286"/>
      <c r="M63" s="266"/>
      <c r="N63" s="266"/>
    </row>
    <row r="64" spans="1:14" s="6" customFormat="1" ht="91.5" customHeight="1">
      <c r="A64" s="68" t="s">
        <v>48</v>
      </c>
      <c r="B64" s="71">
        <v>40000</v>
      </c>
      <c r="C64" s="357">
        <v>39999.99</v>
      </c>
      <c r="D64" s="357">
        <v>0.01</v>
      </c>
      <c r="E64" s="78" t="s">
        <v>46</v>
      </c>
      <c r="F64" s="69" t="s">
        <v>441</v>
      </c>
      <c r="G64" s="290"/>
      <c r="H64" s="290"/>
      <c r="I64" s="291"/>
      <c r="J64" s="266"/>
      <c r="K64" s="286"/>
      <c r="L64" s="286"/>
      <c r="M64" s="266"/>
      <c r="N64" s="266"/>
    </row>
    <row r="65" spans="1:14" s="6" customFormat="1" ht="78.75" customHeight="1">
      <c r="A65" s="69" t="s">
        <v>49</v>
      </c>
      <c r="B65" s="70">
        <f>5000+10000-5000+19680+10000</f>
        <v>39680</v>
      </c>
      <c r="C65" s="352">
        <v>39680</v>
      </c>
      <c r="D65" s="352">
        <v>0</v>
      </c>
      <c r="E65" s="70" t="s">
        <v>46</v>
      </c>
      <c r="F65" s="405" t="s">
        <v>511</v>
      </c>
      <c r="G65" s="264"/>
      <c r="H65" s="264"/>
      <c r="I65" s="265"/>
      <c r="J65" s="266"/>
      <c r="K65" s="286"/>
      <c r="L65" s="286"/>
      <c r="M65" s="266"/>
      <c r="N65" s="266"/>
    </row>
    <row r="66" spans="1:14" s="62" customFormat="1" ht="90" customHeight="1">
      <c r="A66" s="69" t="s">
        <v>50</v>
      </c>
      <c r="B66" s="70">
        <f>25000-12135</f>
        <v>12865</v>
      </c>
      <c r="C66" s="352">
        <v>12640</v>
      </c>
      <c r="D66" s="352">
        <v>225</v>
      </c>
      <c r="E66" s="70" t="s">
        <v>46</v>
      </c>
      <c r="F66" s="405" t="s">
        <v>442</v>
      </c>
      <c r="G66" s="297"/>
      <c r="H66" s="297"/>
      <c r="I66" s="298"/>
      <c r="J66" s="299"/>
      <c r="K66" s="300"/>
      <c r="L66" s="300"/>
      <c r="M66" s="299"/>
      <c r="N66" s="299"/>
    </row>
    <row r="67" spans="1:14" s="11" customFormat="1" ht="74.25" customHeight="1">
      <c r="A67" s="42" t="s">
        <v>280</v>
      </c>
      <c r="B67" s="44">
        <v>16000</v>
      </c>
      <c r="C67" s="336">
        <v>16000</v>
      </c>
      <c r="D67" s="336">
        <v>0</v>
      </c>
      <c r="E67" s="51" t="s">
        <v>46</v>
      </c>
      <c r="F67" s="48" t="s">
        <v>443</v>
      </c>
      <c r="G67" s="282"/>
      <c r="H67" s="282"/>
      <c r="I67" s="265"/>
      <c r="J67" s="47"/>
      <c r="K67" s="303"/>
      <c r="L67" s="303"/>
      <c r="M67" s="304"/>
      <c r="N67" s="304"/>
    </row>
    <row r="68" spans="1:14" s="11" customFormat="1" ht="72" customHeight="1">
      <c r="A68" s="42" t="s">
        <v>291</v>
      </c>
      <c r="B68" s="44">
        <v>20000</v>
      </c>
      <c r="C68" s="336">
        <v>20000</v>
      </c>
      <c r="D68" s="336">
        <v>0</v>
      </c>
      <c r="E68" s="51" t="s">
        <v>46</v>
      </c>
      <c r="F68" s="48" t="s">
        <v>444</v>
      </c>
      <c r="G68" s="290"/>
      <c r="H68" s="290"/>
      <c r="I68" s="291"/>
      <c r="J68" s="304"/>
      <c r="K68" s="303"/>
      <c r="L68" s="303"/>
      <c r="M68" s="304"/>
      <c r="N68" s="304"/>
    </row>
    <row r="69" spans="1:14" s="11" customFormat="1" ht="15">
      <c r="A69" s="42"/>
      <c r="B69" s="44"/>
      <c r="C69" s="336"/>
      <c r="D69" s="336"/>
      <c r="E69" s="51"/>
      <c r="F69" s="48"/>
      <c r="G69" s="305"/>
      <c r="H69" s="305"/>
      <c r="I69" s="306"/>
      <c r="J69" s="304"/>
      <c r="K69" s="303"/>
      <c r="L69" s="303"/>
      <c r="M69" s="304"/>
      <c r="N69" s="304"/>
    </row>
    <row r="70" spans="1:14" s="11" customFormat="1" ht="30">
      <c r="A70" s="22" t="s">
        <v>3</v>
      </c>
      <c r="B70" s="35">
        <f>SUM(B71:B92)</f>
        <v>927577</v>
      </c>
      <c r="C70" s="348">
        <f>SUM(C71:C92)</f>
        <v>927048.66</v>
      </c>
      <c r="D70" s="348">
        <f>SUM(D71:D94)</f>
        <v>528.3399999999999</v>
      </c>
      <c r="E70" s="21"/>
      <c r="F70" s="420"/>
      <c r="G70" s="305"/>
      <c r="H70" s="305"/>
      <c r="I70" s="306"/>
      <c r="J70" s="304"/>
      <c r="K70" s="303"/>
      <c r="L70" s="303"/>
      <c r="M70" s="304"/>
      <c r="N70" s="304"/>
    </row>
    <row r="71" spans="1:14" s="11" customFormat="1" ht="153.75" customHeight="1">
      <c r="A71" s="48" t="s">
        <v>228</v>
      </c>
      <c r="B71" s="50">
        <f>30000+10250</f>
        <v>40250</v>
      </c>
      <c r="C71" s="353">
        <v>39999.6</v>
      </c>
      <c r="D71" s="353">
        <v>250.4</v>
      </c>
      <c r="E71" s="49" t="s">
        <v>51</v>
      </c>
      <c r="F71" s="401" t="s">
        <v>478</v>
      </c>
      <c r="G71" s="290"/>
      <c r="H71" s="290"/>
      <c r="I71" s="291"/>
      <c r="J71" s="266"/>
      <c r="K71" s="303"/>
      <c r="L71" s="303"/>
      <c r="M71" s="304"/>
      <c r="N71" s="304"/>
    </row>
    <row r="72" spans="1:14" s="11" customFormat="1" ht="144.75" customHeight="1">
      <c r="A72" s="48" t="s">
        <v>258</v>
      </c>
      <c r="B72" s="50">
        <v>35500</v>
      </c>
      <c r="C72" s="353">
        <v>35500</v>
      </c>
      <c r="D72" s="353">
        <v>0</v>
      </c>
      <c r="E72" s="49" t="s">
        <v>51</v>
      </c>
      <c r="F72" s="408" t="s">
        <v>479</v>
      </c>
      <c r="G72" s="293"/>
      <c r="H72" s="293"/>
      <c r="I72" s="294"/>
      <c r="J72" s="302"/>
      <c r="K72" s="286"/>
      <c r="L72" s="303"/>
      <c r="M72" s="304"/>
      <c r="N72" s="304"/>
    </row>
    <row r="73" spans="1:14" s="11" customFormat="1" ht="88.5" customHeight="1">
      <c r="A73" s="45" t="s">
        <v>227</v>
      </c>
      <c r="B73" s="50">
        <v>24293</v>
      </c>
      <c r="C73" s="353">
        <v>24292.5</v>
      </c>
      <c r="D73" s="353">
        <v>0.5</v>
      </c>
      <c r="E73" s="49" t="s">
        <v>51</v>
      </c>
      <c r="F73" s="409" t="s">
        <v>480</v>
      </c>
      <c r="G73" s="301"/>
      <c r="H73" s="301"/>
      <c r="I73" s="294"/>
      <c r="J73" s="302"/>
      <c r="K73" s="303"/>
      <c r="L73" s="303"/>
      <c r="M73" s="304"/>
      <c r="N73" s="304"/>
    </row>
    <row r="74" spans="1:14" s="11" customFormat="1" ht="183" customHeight="1">
      <c r="A74" s="45" t="s">
        <v>226</v>
      </c>
      <c r="B74" s="50">
        <f>60842-1200</f>
        <v>59642</v>
      </c>
      <c r="C74" s="353">
        <v>59577.16</v>
      </c>
      <c r="D74" s="353">
        <v>64.84</v>
      </c>
      <c r="E74" s="49" t="s">
        <v>52</v>
      </c>
      <c r="F74" s="409" t="s">
        <v>481</v>
      </c>
      <c r="G74" s="293"/>
      <c r="H74" s="293"/>
      <c r="I74" s="294"/>
      <c r="J74" s="302"/>
      <c r="K74" s="296"/>
      <c r="L74" s="286"/>
      <c r="M74" s="304"/>
      <c r="N74" s="304"/>
    </row>
    <row r="75" spans="1:14" s="11" customFormat="1" ht="170.25" customHeight="1">
      <c r="A75" s="330" t="s">
        <v>53</v>
      </c>
      <c r="B75" s="44">
        <f>20000-5453</f>
        <v>14547</v>
      </c>
      <c r="C75" s="336">
        <v>14546.33</v>
      </c>
      <c r="D75" s="336">
        <v>0.67</v>
      </c>
      <c r="E75" s="51" t="s">
        <v>52</v>
      </c>
      <c r="F75" s="410" t="s">
        <v>482</v>
      </c>
      <c r="G75" s="282"/>
      <c r="H75" s="282"/>
      <c r="I75" s="265"/>
      <c r="J75" s="307"/>
      <c r="K75" s="303"/>
      <c r="L75" s="303"/>
      <c r="M75" s="304"/>
      <c r="N75" s="304"/>
    </row>
    <row r="76" spans="1:14" s="11" customFormat="1" ht="51.75" customHeight="1">
      <c r="A76" s="42" t="s">
        <v>54</v>
      </c>
      <c r="B76" s="44">
        <f>30000+6000</f>
        <v>36000</v>
      </c>
      <c r="C76" s="336">
        <v>35966.82</v>
      </c>
      <c r="D76" s="336">
        <v>33.18</v>
      </c>
      <c r="E76" s="51" t="s">
        <v>52</v>
      </c>
      <c r="F76" s="410" t="s">
        <v>483</v>
      </c>
      <c r="G76" s="290"/>
      <c r="H76" s="290"/>
      <c r="I76" s="291"/>
      <c r="J76" s="266"/>
      <c r="K76" s="303"/>
      <c r="L76" s="303"/>
      <c r="M76" s="304"/>
      <c r="N76" s="304"/>
    </row>
    <row r="77" spans="1:14" s="11" customFormat="1" ht="189" customHeight="1">
      <c r="A77" s="48" t="s">
        <v>55</v>
      </c>
      <c r="B77" s="44">
        <f>154000-98139</f>
        <v>55861</v>
      </c>
      <c r="C77" s="336">
        <v>55860.12</v>
      </c>
      <c r="D77" s="336">
        <v>0.88</v>
      </c>
      <c r="E77" s="51" t="s">
        <v>51</v>
      </c>
      <c r="F77" s="410" t="s">
        <v>484</v>
      </c>
      <c r="G77" s="264"/>
      <c r="H77" s="264"/>
      <c r="I77" s="265"/>
      <c r="J77" s="307"/>
      <c r="K77" s="286"/>
      <c r="L77" s="303"/>
      <c r="M77" s="304"/>
      <c r="N77" s="304"/>
    </row>
    <row r="78" spans="1:14" s="11" customFormat="1" ht="216" customHeight="1">
      <c r="A78" s="325" t="s">
        <v>324</v>
      </c>
      <c r="B78" s="331">
        <f>80000+12000</f>
        <v>92000</v>
      </c>
      <c r="C78" s="354">
        <v>92000</v>
      </c>
      <c r="D78" s="354">
        <v>0</v>
      </c>
      <c r="E78" s="51" t="s">
        <v>51</v>
      </c>
      <c r="F78" s="410" t="s">
        <v>485</v>
      </c>
      <c r="G78" s="301"/>
      <c r="H78" s="301"/>
      <c r="I78" s="294"/>
      <c r="J78" s="266"/>
      <c r="K78" s="303"/>
      <c r="L78" s="303"/>
      <c r="M78" s="304"/>
      <c r="N78" s="304"/>
    </row>
    <row r="79" spans="1:14" s="11" customFormat="1" ht="125.25" customHeight="1">
      <c r="A79" s="42" t="s">
        <v>56</v>
      </c>
      <c r="B79" s="50">
        <f>72000-43400-25000</f>
        <v>3600</v>
      </c>
      <c r="C79" s="353">
        <v>3600</v>
      </c>
      <c r="D79" s="353">
        <v>0</v>
      </c>
      <c r="E79" s="51" t="s">
        <v>51</v>
      </c>
      <c r="F79" s="410" t="s">
        <v>486</v>
      </c>
      <c r="G79" s="293"/>
      <c r="H79" s="293"/>
      <c r="I79" s="294"/>
      <c r="J79" s="302"/>
      <c r="K79" s="296"/>
      <c r="L79" s="303"/>
      <c r="M79" s="304"/>
      <c r="N79" s="304"/>
    </row>
    <row r="80" spans="1:14" s="11" customFormat="1" ht="191.25">
      <c r="A80" s="45" t="s">
        <v>232</v>
      </c>
      <c r="B80" s="50">
        <f>20000-700</f>
        <v>19300</v>
      </c>
      <c r="C80" s="336">
        <v>19300</v>
      </c>
      <c r="D80" s="336">
        <v>0</v>
      </c>
      <c r="E80" s="49" t="s">
        <v>51</v>
      </c>
      <c r="F80" s="409" t="s">
        <v>525</v>
      </c>
      <c r="G80" s="293"/>
      <c r="H80" s="293"/>
      <c r="I80" s="294"/>
      <c r="J80" s="302"/>
      <c r="K80" s="292"/>
      <c r="L80" s="303"/>
      <c r="M80" s="304"/>
      <c r="N80" s="304"/>
    </row>
    <row r="81" spans="1:14" s="61" customFormat="1" ht="47.25" customHeight="1">
      <c r="A81" s="325" t="s">
        <v>340</v>
      </c>
      <c r="B81" s="44">
        <f>25000-12000-6000-1000-1000-5000+25000-1389</f>
        <v>23611</v>
      </c>
      <c r="C81" s="336">
        <v>23610.16</v>
      </c>
      <c r="D81" s="336">
        <v>0.84</v>
      </c>
      <c r="E81" s="51" t="s">
        <v>52</v>
      </c>
      <c r="F81" s="408" t="s">
        <v>487</v>
      </c>
      <c r="G81" s="310"/>
      <c r="H81" s="310"/>
      <c r="I81" s="311"/>
      <c r="J81" s="312"/>
      <c r="K81" s="313"/>
      <c r="L81" s="313"/>
      <c r="M81" s="314"/>
      <c r="N81" s="314"/>
    </row>
    <row r="82" spans="1:14" s="11" customFormat="1" ht="164.25" customHeight="1">
      <c r="A82" s="42" t="s">
        <v>231</v>
      </c>
      <c r="B82" s="44">
        <v>44000</v>
      </c>
      <c r="C82" s="336">
        <v>43992.42</v>
      </c>
      <c r="D82" s="336">
        <v>7.58</v>
      </c>
      <c r="E82" s="51" t="s">
        <v>52</v>
      </c>
      <c r="F82" s="408" t="s">
        <v>488</v>
      </c>
      <c r="G82" s="293"/>
      <c r="H82" s="293"/>
      <c r="I82" s="294"/>
      <c r="J82" s="309"/>
      <c r="K82" s="303"/>
      <c r="L82" s="303"/>
      <c r="M82" s="304"/>
      <c r="N82" s="304"/>
    </row>
    <row r="83" spans="1:14" s="11" customFormat="1" ht="204">
      <c r="A83" s="60" t="s">
        <v>230</v>
      </c>
      <c r="B83" s="229">
        <f>40000+20000</f>
        <v>60000</v>
      </c>
      <c r="C83" s="349">
        <v>60000</v>
      </c>
      <c r="D83" s="349">
        <v>0</v>
      </c>
      <c r="E83" s="49" t="s">
        <v>52</v>
      </c>
      <c r="F83" s="409" t="s">
        <v>489</v>
      </c>
      <c r="G83" s="293"/>
      <c r="H83" s="293"/>
      <c r="I83" s="294"/>
      <c r="J83" s="309"/>
      <c r="K83" s="303"/>
      <c r="L83" s="303"/>
      <c r="M83" s="304"/>
      <c r="N83" s="304"/>
    </row>
    <row r="84" spans="1:14" s="11" customFormat="1" ht="181.5" customHeight="1">
      <c r="A84" s="236" t="s">
        <v>235</v>
      </c>
      <c r="B84" s="229">
        <f>50000+2176</f>
        <v>52176</v>
      </c>
      <c r="C84" s="349">
        <v>52173.4</v>
      </c>
      <c r="D84" s="349">
        <v>2.6</v>
      </c>
      <c r="E84" s="49" t="s">
        <v>52</v>
      </c>
      <c r="F84" s="408" t="s">
        <v>490</v>
      </c>
      <c r="G84" s="293"/>
      <c r="H84" s="293"/>
      <c r="I84" s="294"/>
      <c r="J84" s="266"/>
      <c r="K84" s="303"/>
      <c r="L84" s="303"/>
      <c r="M84" s="304"/>
      <c r="N84" s="304"/>
    </row>
    <row r="85" spans="1:14" s="11" customFormat="1" ht="219" customHeight="1">
      <c r="A85" s="236" t="s">
        <v>236</v>
      </c>
      <c r="B85" s="229">
        <f>33000-400</f>
        <v>32600</v>
      </c>
      <c r="C85" s="350">
        <v>32597</v>
      </c>
      <c r="D85" s="350">
        <v>3</v>
      </c>
      <c r="E85" s="49" t="s">
        <v>52</v>
      </c>
      <c r="F85" s="408" t="s">
        <v>526</v>
      </c>
      <c r="G85" s="293"/>
      <c r="H85" s="293"/>
      <c r="I85" s="294"/>
      <c r="J85" s="266"/>
      <c r="K85" s="303"/>
      <c r="L85" s="303"/>
      <c r="M85" s="304"/>
      <c r="N85" s="304"/>
    </row>
    <row r="86" spans="1:14" s="11" customFormat="1" ht="131.25" customHeight="1">
      <c r="A86" s="262" t="s">
        <v>263</v>
      </c>
      <c r="B86" s="229">
        <f>24000-900-800</f>
        <v>22300</v>
      </c>
      <c r="C86" s="349">
        <v>22228.4</v>
      </c>
      <c r="D86" s="349">
        <v>71.6</v>
      </c>
      <c r="E86" s="263" t="s">
        <v>52</v>
      </c>
      <c r="F86" s="411" t="s">
        <v>492</v>
      </c>
      <c r="G86" s="264"/>
      <c r="H86" s="264"/>
      <c r="I86" s="265"/>
      <c r="J86" s="266"/>
      <c r="K86" s="303"/>
      <c r="L86" s="303"/>
      <c r="M86" s="304"/>
      <c r="N86" s="304"/>
    </row>
    <row r="87" spans="1:14" s="11" customFormat="1" ht="144.75" customHeight="1">
      <c r="A87" s="60" t="s">
        <v>314</v>
      </c>
      <c r="B87" s="64">
        <f>56000-10250-41440</f>
        <v>4310</v>
      </c>
      <c r="C87" s="355">
        <v>4305</v>
      </c>
      <c r="D87" s="355">
        <v>5</v>
      </c>
      <c r="E87" s="263" t="s">
        <v>52</v>
      </c>
      <c r="F87" s="411" t="s">
        <v>493</v>
      </c>
      <c r="G87" s="264"/>
      <c r="H87" s="264"/>
      <c r="I87" s="265"/>
      <c r="J87" s="266"/>
      <c r="K87" s="303"/>
      <c r="L87" s="303"/>
      <c r="M87" s="304"/>
      <c r="N87" s="304"/>
    </row>
    <row r="88" spans="1:14" s="11" customFormat="1" ht="93" customHeight="1">
      <c r="A88" s="47" t="s">
        <v>270</v>
      </c>
      <c r="B88" s="64">
        <v>58595</v>
      </c>
      <c r="C88" s="355">
        <v>58595</v>
      </c>
      <c r="D88" s="355">
        <v>0</v>
      </c>
      <c r="E88" s="263" t="s">
        <v>52</v>
      </c>
      <c r="F88" s="408" t="s">
        <v>491</v>
      </c>
      <c r="G88" s="316"/>
      <c r="H88" s="316"/>
      <c r="I88" s="265"/>
      <c r="J88" s="304"/>
      <c r="K88" s="303"/>
      <c r="L88" s="303"/>
      <c r="M88" s="304"/>
      <c r="N88" s="304"/>
    </row>
    <row r="89" spans="1:14" s="11" customFormat="1" ht="132" customHeight="1">
      <c r="A89" s="60" t="s">
        <v>271</v>
      </c>
      <c r="B89" s="64">
        <v>15720</v>
      </c>
      <c r="C89" s="355">
        <v>15720</v>
      </c>
      <c r="D89" s="355">
        <v>0</v>
      </c>
      <c r="E89" s="58" t="s">
        <v>52</v>
      </c>
      <c r="F89" s="432" t="s">
        <v>527</v>
      </c>
      <c r="G89" s="316"/>
      <c r="H89" s="316"/>
      <c r="I89" s="265"/>
      <c r="J89" s="304"/>
      <c r="K89" s="303"/>
      <c r="L89" s="303"/>
      <c r="M89" s="304"/>
      <c r="N89" s="304"/>
    </row>
    <row r="90" spans="1:14" s="11" customFormat="1" ht="176.25" customHeight="1">
      <c r="A90" s="60" t="s">
        <v>281</v>
      </c>
      <c r="B90" s="64">
        <f>45463+12175+5000+43400+1200+41440+800+15200</f>
        <v>164678</v>
      </c>
      <c r="C90" s="355">
        <v>164597.95</v>
      </c>
      <c r="D90" s="355">
        <v>80.05</v>
      </c>
      <c r="E90" s="58" t="s">
        <v>52</v>
      </c>
      <c r="F90" s="411" t="s">
        <v>495</v>
      </c>
      <c r="G90" s="315"/>
      <c r="H90" s="315"/>
      <c r="I90" s="265"/>
      <c r="J90" s="266"/>
      <c r="K90" s="303"/>
      <c r="L90" s="303"/>
      <c r="M90" s="304"/>
      <c r="N90" s="304"/>
    </row>
    <row r="91" spans="1:14" s="11" customFormat="1" ht="123.75" customHeight="1">
      <c r="A91" s="329" t="s">
        <v>341</v>
      </c>
      <c r="B91" s="58">
        <f>30000+1405+400+700+900+1389</f>
        <v>34794</v>
      </c>
      <c r="C91" s="355">
        <v>34789.09</v>
      </c>
      <c r="D91" s="355">
        <v>4.91</v>
      </c>
      <c r="E91" s="58" t="s">
        <v>52</v>
      </c>
      <c r="F91" s="409" t="s">
        <v>494</v>
      </c>
      <c r="G91" s="315"/>
      <c r="H91" s="315"/>
      <c r="I91" s="315"/>
      <c r="J91" s="47"/>
      <c r="K91" s="303"/>
      <c r="L91" s="303"/>
      <c r="M91" s="304"/>
      <c r="N91" s="304"/>
    </row>
    <row r="92" spans="1:14" s="11" customFormat="1" ht="89.25">
      <c r="A92" s="236" t="s">
        <v>315</v>
      </c>
      <c r="B92" s="58">
        <f>49000-15200</f>
        <v>33800</v>
      </c>
      <c r="C92" s="355">
        <v>33797.71</v>
      </c>
      <c r="D92" s="355">
        <v>2.29</v>
      </c>
      <c r="E92" s="58" t="s">
        <v>52</v>
      </c>
      <c r="F92" s="408" t="s">
        <v>496</v>
      </c>
      <c r="G92" s="315"/>
      <c r="H92" s="315"/>
      <c r="I92" s="315"/>
      <c r="J92" s="47"/>
      <c r="K92" s="303"/>
      <c r="L92" s="303"/>
      <c r="M92" s="304"/>
      <c r="N92" s="304"/>
    </row>
    <row r="93" spans="1:14" s="276" customFormat="1" ht="30" customHeight="1">
      <c r="A93" s="404"/>
      <c r="B93" s="404"/>
      <c r="C93" s="406"/>
      <c r="D93" s="406"/>
      <c r="E93" s="404"/>
      <c r="F93" s="59"/>
      <c r="G93" s="315"/>
      <c r="H93" s="315"/>
      <c r="I93" s="315"/>
      <c r="J93" s="47"/>
      <c r="K93" s="317"/>
      <c r="L93" s="317"/>
      <c r="M93" s="318"/>
      <c r="N93" s="318"/>
    </row>
    <row r="94" spans="1:14" s="6" customFormat="1" ht="30">
      <c r="A94" s="22" t="s">
        <v>8</v>
      </c>
      <c r="B94" s="35">
        <f>SUM(B95:B95)</f>
        <v>0</v>
      </c>
      <c r="C94" s="348">
        <v>0</v>
      </c>
      <c r="D94" s="348">
        <v>0</v>
      </c>
      <c r="E94" s="19"/>
      <c r="F94" s="419"/>
      <c r="G94" s="290"/>
      <c r="H94" s="290"/>
      <c r="I94" s="291"/>
      <c r="J94" s="266"/>
      <c r="K94" s="286"/>
      <c r="L94" s="286"/>
      <c r="M94" s="266"/>
      <c r="N94" s="266"/>
    </row>
    <row r="95" spans="1:14" s="6" customFormat="1" ht="15">
      <c r="A95" s="72"/>
      <c r="B95" s="421"/>
      <c r="C95" s="422"/>
      <c r="D95" s="422"/>
      <c r="E95" s="66"/>
      <c r="F95" s="394"/>
      <c r="G95" s="290"/>
      <c r="H95" s="290"/>
      <c r="I95" s="291"/>
      <c r="J95" s="266"/>
      <c r="K95" s="286"/>
      <c r="L95" s="286"/>
      <c r="M95" s="266"/>
      <c r="N95" s="266"/>
    </row>
    <row r="96" spans="1:14" s="6" customFormat="1" ht="30">
      <c r="A96" s="423" t="s">
        <v>4</v>
      </c>
      <c r="B96" s="35">
        <f>SUM(B97:B119)</f>
        <v>141746</v>
      </c>
      <c r="C96" s="348">
        <f>SUM(C97:C119)</f>
        <v>140957.92</v>
      </c>
      <c r="D96" s="348">
        <f>SUM(D97:D119)</f>
        <v>788.08</v>
      </c>
      <c r="E96" s="19"/>
      <c r="F96" s="419"/>
      <c r="G96" s="290"/>
      <c r="H96" s="290"/>
      <c r="I96" s="291"/>
      <c r="J96" s="266"/>
      <c r="K96" s="286"/>
      <c r="L96" s="286"/>
      <c r="M96" s="266"/>
      <c r="N96" s="266"/>
    </row>
    <row r="97" spans="1:14" s="6" customFormat="1" ht="178.5">
      <c r="A97" s="74" t="s">
        <v>57</v>
      </c>
      <c r="B97" s="75">
        <f>27000-5000</f>
        <v>22000</v>
      </c>
      <c r="C97" s="356">
        <v>22000</v>
      </c>
      <c r="D97" s="356">
        <v>0</v>
      </c>
      <c r="E97" s="76" t="s">
        <v>58</v>
      </c>
      <c r="F97" s="401" t="s">
        <v>512</v>
      </c>
      <c r="G97" s="290"/>
      <c r="H97" s="290"/>
      <c r="I97" s="291"/>
      <c r="J97" s="266"/>
      <c r="K97" s="286"/>
      <c r="L97" s="286"/>
      <c r="M97" s="266"/>
      <c r="N97" s="266"/>
    </row>
    <row r="98" spans="1:14" s="6" customFormat="1" ht="24" customHeight="1">
      <c r="A98" s="68" t="s">
        <v>59</v>
      </c>
      <c r="B98" s="75">
        <v>3000</v>
      </c>
      <c r="C98" s="356">
        <v>2995</v>
      </c>
      <c r="D98" s="356">
        <v>5</v>
      </c>
      <c r="E98" s="77" t="s">
        <v>60</v>
      </c>
      <c r="F98" s="399" t="s">
        <v>387</v>
      </c>
      <c r="G98" s="290"/>
      <c r="H98" s="290"/>
      <c r="I98" s="291"/>
      <c r="J98" s="266"/>
      <c r="K98" s="286"/>
      <c r="L98" s="286"/>
      <c r="M98" s="266"/>
      <c r="N98" s="266"/>
    </row>
    <row r="99" spans="1:14" s="6" customFormat="1" ht="48.75" customHeight="1">
      <c r="A99" s="68" t="s">
        <v>61</v>
      </c>
      <c r="B99" s="75">
        <v>1500</v>
      </c>
      <c r="C99" s="356">
        <v>1500</v>
      </c>
      <c r="D99" s="356">
        <v>0</v>
      </c>
      <c r="E99" s="77" t="s">
        <v>62</v>
      </c>
      <c r="F99" s="399" t="s">
        <v>392</v>
      </c>
      <c r="G99" s="290"/>
      <c r="H99" s="290"/>
      <c r="I99" s="291"/>
      <c r="J99" s="266"/>
      <c r="K99" s="286"/>
      <c r="L99" s="286"/>
      <c r="M99" s="266"/>
      <c r="N99" s="266"/>
    </row>
    <row r="100" spans="1:14" s="6" customFormat="1" ht="66" customHeight="1">
      <c r="A100" s="68" t="s">
        <v>63</v>
      </c>
      <c r="B100" s="71">
        <f>12000-2000+10000-8248+500</f>
        <v>12252</v>
      </c>
      <c r="C100" s="357">
        <v>11752</v>
      </c>
      <c r="D100" s="357">
        <v>500</v>
      </c>
      <c r="E100" s="78" t="s">
        <v>58</v>
      </c>
      <c r="F100" s="69" t="s">
        <v>448</v>
      </c>
      <c r="H100" s="407" t="s">
        <v>447</v>
      </c>
      <c r="I100" s="265"/>
      <c r="J100" s="307"/>
      <c r="K100" s="308"/>
      <c r="L100" s="286"/>
      <c r="M100" s="266"/>
      <c r="N100" s="266"/>
    </row>
    <row r="101" spans="1:14" s="6" customFormat="1" ht="72.75" customHeight="1">
      <c r="A101" s="68" t="s">
        <v>64</v>
      </c>
      <c r="B101" s="75">
        <f>4000+2000+5547+2300</f>
        <v>13847</v>
      </c>
      <c r="C101" s="356">
        <v>13847</v>
      </c>
      <c r="D101" s="356">
        <v>0</v>
      </c>
      <c r="E101" s="77" t="s">
        <v>58</v>
      </c>
      <c r="F101" s="399" t="s">
        <v>450</v>
      </c>
      <c r="G101" s="264"/>
      <c r="H101" s="264"/>
      <c r="I101" s="265"/>
      <c r="J101" s="309"/>
      <c r="K101" s="286"/>
      <c r="L101" s="286"/>
      <c r="M101" s="266"/>
      <c r="N101" s="266"/>
    </row>
    <row r="102" spans="1:14" s="6" customFormat="1" ht="49.5" customHeight="1">
      <c r="A102" s="68" t="s">
        <v>65</v>
      </c>
      <c r="B102" s="79">
        <f>5000+1000</f>
        <v>6000</v>
      </c>
      <c r="C102" s="358">
        <v>5905</v>
      </c>
      <c r="D102" s="358">
        <v>95</v>
      </c>
      <c r="E102" s="77" t="s">
        <v>66</v>
      </c>
      <c r="F102" s="399" t="s">
        <v>393</v>
      </c>
      <c r="G102" s="290"/>
      <c r="H102" s="290"/>
      <c r="I102" s="291"/>
      <c r="J102" s="266"/>
      <c r="K102" s="286"/>
      <c r="L102" s="286"/>
      <c r="M102" s="266"/>
      <c r="N102" s="266"/>
    </row>
    <row r="103" spans="1:14" s="6" customFormat="1" ht="153.75" customHeight="1">
      <c r="A103" s="68" t="s">
        <v>67</v>
      </c>
      <c r="B103" s="75">
        <f>4000+6000</f>
        <v>10000</v>
      </c>
      <c r="C103" s="356">
        <v>10000</v>
      </c>
      <c r="D103" s="356">
        <v>0</v>
      </c>
      <c r="E103" s="77" t="s">
        <v>58</v>
      </c>
      <c r="F103" s="399" t="s">
        <v>451</v>
      </c>
      <c r="G103" s="290"/>
      <c r="H103" s="290"/>
      <c r="I103" s="291"/>
      <c r="J103" s="266"/>
      <c r="K103" s="286"/>
      <c r="L103" s="286"/>
      <c r="M103" s="266"/>
      <c r="N103" s="266"/>
    </row>
    <row r="104" spans="1:14" s="6" customFormat="1" ht="38.25">
      <c r="A104" s="68" t="s">
        <v>68</v>
      </c>
      <c r="B104" s="71">
        <v>5000</v>
      </c>
      <c r="C104" s="357">
        <v>5000</v>
      </c>
      <c r="D104" s="357">
        <v>0</v>
      </c>
      <c r="E104" s="77" t="s">
        <v>69</v>
      </c>
      <c r="F104" s="399" t="s">
        <v>468</v>
      </c>
      <c r="G104" s="290"/>
      <c r="H104" s="290"/>
      <c r="I104" s="291"/>
      <c r="J104" s="266"/>
      <c r="K104" s="286"/>
      <c r="L104" s="286"/>
      <c r="M104" s="266"/>
      <c r="N104" s="266"/>
    </row>
    <row r="105" spans="1:14" s="6" customFormat="1" ht="135" customHeight="1">
      <c r="A105" s="68" t="s">
        <v>70</v>
      </c>
      <c r="B105" s="79">
        <f>10000-1000+1000+6000</f>
        <v>16000</v>
      </c>
      <c r="C105" s="358">
        <v>16000</v>
      </c>
      <c r="D105" s="358">
        <v>0</v>
      </c>
      <c r="E105" s="78" t="s">
        <v>58</v>
      </c>
      <c r="F105" s="69" t="s">
        <v>452</v>
      </c>
      <c r="G105" s="282"/>
      <c r="H105" s="282"/>
      <c r="I105" s="265"/>
      <c r="J105" s="309"/>
      <c r="K105" s="286"/>
      <c r="L105" s="286"/>
      <c r="M105" s="266"/>
      <c r="N105" s="266"/>
    </row>
    <row r="106" spans="1:14" s="6" customFormat="1" ht="51" customHeight="1">
      <c r="A106" s="412" t="s">
        <v>513</v>
      </c>
      <c r="B106" s="79">
        <f>1500-1000</f>
        <v>500</v>
      </c>
      <c r="C106" s="358">
        <v>500</v>
      </c>
      <c r="D106" s="358">
        <v>0</v>
      </c>
      <c r="E106" s="78" t="s">
        <v>58</v>
      </c>
      <c r="F106" s="69" t="s">
        <v>455</v>
      </c>
      <c r="G106" s="290"/>
      <c r="H106" s="290"/>
      <c r="I106" s="291"/>
      <c r="J106" s="266"/>
      <c r="K106" s="286"/>
      <c r="L106" s="286"/>
      <c r="M106" s="266"/>
      <c r="N106" s="266"/>
    </row>
    <row r="107" spans="1:14" s="6" customFormat="1" ht="48.75" customHeight="1">
      <c r="A107" s="60" t="s">
        <v>274</v>
      </c>
      <c r="B107" s="79">
        <f>3000-1000+1000</f>
        <v>3000</v>
      </c>
      <c r="C107" s="358">
        <v>3000</v>
      </c>
      <c r="D107" s="358">
        <v>0</v>
      </c>
      <c r="E107" s="78" t="s">
        <v>58</v>
      </c>
      <c r="F107" s="69" t="s">
        <v>449</v>
      </c>
      <c r="G107" s="290"/>
      <c r="H107" s="290"/>
      <c r="I107" s="291"/>
      <c r="J107" s="266"/>
      <c r="K107" s="286"/>
      <c r="L107" s="286"/>
      <c r="M107" s="266"/>
      <c r="N107" s="266"/>
    </row>
    <row r="108" spans="1:14" s="6" customFormat="1" ht="49.5" customHeight="1">
      <c r="A108" s="80" t="s">
        <v>71</v>
      </c>
      <c r="B108" s="75">
        <f>4000+2000</f>
        <v>6000</v>
      </c>
      <c r="C108" s="356">
        <v>5860</v>
      </c>
      <c r="D108" s="356">
        <v>140</v>
      </c>
      <c r="E108" s="78" t="s">
        <v>66</v>
      </c>
      <c r="F108" s="69" t="s">
        <v>394</v>
      </c>
      <c r="G108" s="290"/>
      <c r="H108" s="290"/>
      <c r="I108" s="291"/>
      <c r="J108" s="266"/>
      <c r="K108" s="286"/>
      <c r="L108" s="286"/>
      <c r="M108" s="266"/>
      <c r="N108" s="266"/>
    </row>
    <row r="109" spans="1:14" s="6" customFormat="1" ht="31.5" customHeight="1">
      <c r="A109" s="68" t="s">
        <v>72</v>
      </c>
      <c r="B109" s="71">
        <v>4000</v>
      </c>
      <c r="C109" s="357">
        <v>4000</v>
      </c>
      <c r="D109" s="357">
        <v>0</v>
      </c>
      <c r="E109" s="78" t="s">
        <v>73</v>
      </c>
      <c r="F109" s="69" t="s">
        <v>395</v>
      </c>
      <c r="G109" s="290"/>
      <c r="H109" s="290"/>
      <c r="I109" s="291"/>
      <c r="J109" s="266"/>
      <c r="K109" s="286"/>
      <c r="L109" s="286"/>
      <c r="M109" s="266"/>
      <c r="N109" s="266"/>
    </row>
    <row r="110" spans="1:14" s="6" customFormat="1" ht="229.5">
      <c r="A110" s="68" t="s">
        <v>164</v>
      </c>
      <c r="B110" s="75">
        <v>11000</v>
      </c>
      <c r="C110" s="356">
        <v>11000</v>
      </c>
      <c r="D110" s="356">
        <v>0</v>
      </c>
      <c r="E110" s="78" t="s">
        <v>58</v>
      </c>
      <c r="F110" s="69" t="s">
        <v>446</v>
      </c>
      <c r="G110" s="266"/>
      <c r="H110" s="290"/>
      <c r="I110" s="291"/>
      <c r="J110" s="266"/>
      <c r="K110" s="286"/>
      <c r="L110" s="286"/>
      <c r="M110" s="266"/>
      <c r="N110" s="266"/>
    </row>
    <row r="111" spans="1:14" s="6" customFormat="1" ht="48" customHeight="1">
      <c r="A111" s="68" t="s">
        <v>165</v>
      </c>
      <c r="B111" s="75">
        <v>1000</v>
      </c>
      <c r="C111" s="356">
        <v>1000</v>
      </c>
      <c r="D111" s="356">
        <v>0</v>
      </c>
      <c r="E111" s="78" t="s">
        <v>58</v>
      </c>
      <c r="F111" s="69" t="s">
        <v>465</v>
      </c>
      <c r="G111" s="266"/>
      <c r="H111" s="290"/>
      <c r="I111" s="291"/>
      <c r="J111" s="266"/>
      <c r="K111" s="286"/>
      <c r="L111" s="286"/>
      <c r="M111" s="266"/>
      <c r="N111" s="266"/>
    </row>
    <row r="112" spans="1:14" s="6" customFormat="1" ht="46.5" customHeight="1">
      <c r="A112" s="68" t="s">
        <v>166</v>
      </c>
      <c r="B112" s="75">
        <f>5000+2500</f>
        <v>7500</v>
      </c>
      <c r="C112" s="356">
        <v>7500</v>
      </c>
      <c r="D112" s="356">
        <v>0</v>
      </c>
      <c r="E112" s="78" t="s">
        <v>58</v>
      </c>
      <c r="F112" s="69" t="s">
        <v>456</v>
      </c>
      <c r="G112" s="290"/>
      <c r="H112" s="290"/>
      <c r="I112" s="291"/>
      <c r="J112" s="266"/>
      <c r="K112" s="286"/>
      <c r="L112" s="286"/>
      <c r="M112" s="266"/>
      <c r="N112" s="266"/>
    </row>
    <row r="113" spans="1:14" s="6" customFormat="1" ht="61.5" customHeight="1">
      <c r="A113" s="68" t="s">
        <v>167</v>
      </c>
      <c r="B113" s="75">
        <f>6000+1000</f>
        <v>7000</v>
      </c>
      <c r="C113" s="356">
        <v>7000</v>
      </c>
      <c r="D113" s="356">
        <v>0</v>
      </c>
      <c r="E113" s="78" t="s">
        <v>58</v>
      </c>
      <c r="F113" s="69" t="s">
        <v>457</v>
      </c>
      <c r="G113" s="47"/>
      <c r="H113" s="282"/>
      <c r="I113" s="265"/>
      <c r="J113" s="266"/>
      <c r="K113" s="286"/>
      <c r="L113" s="286"/>
      <c r="M113" s="266"/>
      <c r="N113" s="266"/>
    </row>
    <row r="114" spans="1:14" s="6" customFormat="1" ht="51.75" customHeight="1">
      <c r="A114" s="59" t="s">
        <v>168</v>
      </c>
      <c r="B114" s="64">
        <v>1000</v>
      </c>
      <c r="C114" s="355">
        <v>1000</v>
      </c>
      <c r="D114" s="355">
        <v>0</v>
      </c>
      <c r="E114" s="58" t="s">
        <v>58</v>
      </c>
      <c r="F114" s="382" t="s">
        <v>458</v>
      </c>
      <c r="G114" s="266"/>
      <c r="H114" s="290"/>
      <c r="I114" s="291"/>
      <c r="J114" s="266"/>
      <c r="K114" s="286"/>
      <c r="L114" s="286"/>
      <c r="M114" s="266"/>
      <c r="N114" s="266"/>
    </row>
    <row r="115" spans="1:14" s="6" customFormat="1" ht="63" customHeight="1">
      <c r="A115" s="59" t="s">
        <v>169</v>
      </c>
      <c r="B115" s="64">
        <f>2000+100</f>
        <v>2100</v>
      </c>
      <c r="C115" s="355">
        <v>2100</v>
      </c>
      <c r="D115" s="355">
        <v>0</v>
      </c>
      <c r="E115" s="58" t="s">
        <v>58</v>
      </c>
      <c r="F115" s="382" t="s">
        <v>459</v>
      </c>
      <c r="G115" s="266"/>
      <c r="H115" s="290"/>
      <c r="I115" s="291"/>
      <c r="J115" s="266"/>
      <c r="K115" s="286"/>
      <c r="L115" s="286"/>
      <c r="M115" s="266"/>
      <c r="N115" s="266"/>
    </row>
    <row r="116" spans="1:14" s="6" customFormat="1" ht="64.5">
      <c r="A116" s="60" t="s">
        <v>170</v>
      </c>
      <c r="B116" s="64">
        <f>1500+1000</f>
        <v>2500</v>
      </c>
      <c r="C116" s="355">
        <v>2500</v>
      </c>
      <c r="D116" s="355">
        <v>0</v>
      </c>
      <c r="E116" s="58" t="s">
        <v>58</v>
      </c>
      <c r="F116" s="382" t="s">
        <v>460</v>
      </c>
      <c r="G116" s="290"/>
      <c r="H116" s="290"/>
      <c r="I116" s="291"/>
      <c r="J116" s="266"/>
      <c r="K116" s="286"/>
      <c r="L116" s="286"/>
      <c r="M116" s="266"/>
      <c r="N116" s="266"/>
    </row>
    <row r="117" spans="1:14" s="6" customFormat="1" ht="51.75">
      <c r="A117" s="265" t="s">
        <v>272</v>
      </c>
      <c r="B117" s="228">
        <v>5547</v>
      </c>
      <c r="C117" s="350">
        <v>5499</v>
      </c>
      <c r="D117" s="350">
        <v>48</v>
      </c>
      <c r="E117" s="403" t="s">
        <v>66</v>
      </c>
      <c r="F117" s="382" t="s">
        <v>396</v>
      </c>
      <c r="G117" s="290"/>
      <c r="H117" s="290"/>
      <c r="I117" s="291"/>
      <c r="J117" s="266"/>
      <c r="K117" s="286"/>
      <c r="L117" s="286"/>
      <c r="M117" s="266"/>
      <c r="N117" s="266"/>
    </row>
    <row r="118" spans="1:14" s="6" customFormat="1" ht="108.75" customHeight="1">
      <c r="A118" s="236" t="s">
        <v>276</v>
      </c>
      <c r="B118" s="229">
        <v>1000</v>
      </c>
      <c r="C118" s="349">
        <v>999.92</v>
      </c>
      <c r="D118" s="349">
        <v>0.08</v>
      </c>
      <c r="E118" s="263" t="s">
        <v>97</v>
      </c>
      <c r="F118" s="382" t="s">
        <v>363</v>
      </c>
      <c r="G118" s="282"/>
      <c r="H118" s="282"/>
      <c r="I118" s="265"/>
      <c r="J118" s="266"/>
      <c r="K118" s="286"/>
      <c r="L118" s="286"/>
      <c r="M118" s="266"/>
      <c r="N118" s="266"/>
    </row>
    <row r="119" spans="1:14" s="6" customFormat="1" ht="15">
      <c r="A119" s="236"/>
      <c r="B119" s="229"/>
      <c r="C119" s="349"/>
      <c r="D119" s="349"/>
      <c r="E119" s="263"/>
      <c r="F119" s="382"/>
      <c r="G119" s="290"/>
      <c r="H119" s="290"/>
      <c r="I119" s="291"/>
      <c r="J119" s="266"/>
      <c r="K119" s="286"/>
      <c r="L119" s="286"/>
      <c r="M119" s="266"/>
      <c r="N119" s="266"/>
    </row>
    <row r="120" spans="1:14" s="6" customFormat="1" ht="30">
      <c r="A120" s="21" t="s">
        <v>5</v>
      </c>
      <c r="B120" s="35">
        <f>SUM(B121:B129)</f>
        <v>43100</v>
      </c>
      <c r="C120" s="348">
        <f>SUM(C121:C129)</f>
        <v>43012.97</v>
      </c>
      <c r="D120" s="348">
        <f>SUM(D121:D129)</f>
        <v>87.03</v>
      </c>
      <c r="E120" s="19"/>
      <c r="F120" s="419"/>
      <c r="G120" s="332"/>
      <c r="H120" s="290"/>
      <c r="I120" s="291"/>
      <c r="J120" s="266"/>
      <c r="K120" s="286"/>
      <c r="L120" s="286"/>
      <c r="M120" s="266"/>
      <c r="N120" s="266"/>
    </row>
    <row r="121" spans="1:14" s="6" customFormat="1" ht="67.5" customHeight="1">
      <c r="A121" s="45" t="s">
        <v>74</v>
      </c>
      <c r="B121" s="50">
        <v>3000</v>
      </c>
      <c r="C121" s="353">
        <v>2996.9</v>
      </c>
      <c r="D121" s="353">
        <v>3.1</v>
      </c>
      <c r="E121" s="46" t="s">
        <v>75</v>
      </c>
      <c r="F121" s="392" t="s">
        <v>475</v>
      </c>
      <c r="G121" s="290"/>
      <c r="H121" s="290"/>
      <c r="I121" s="291"/>
      <c r="J121" s="266"/>
      <c r="K121" s="286"/>
      <c r="L121" s="286"/>
      <c r="M121" s="266"/>
      <c r="N121" s="266"/>
    </row>
    <row r="122" spans="1:14" s="6" customFormat="1" ht="63.75">
      <c r="A122" s="81" t="s">
        <v>342</v>
      </c>
      <c r="B122" s="50">
        <v>4200</v>
      </c>
      <c r="C122" s="353">
        <v>4200</v>
      </c>
      <c r="D122" s="353">
        <v>0</v>
      </c>
      <c r="E122" s="46" t="s">
        <v>75</v>
      </c>
      <c r="F122" s="392" t="s">
        <v>474</v>
      </c>
      <c r="G122" s="301"/>
      <c r="H122" s="301"/>
      <c r="I122" s="294"/>
      <c r="J122" s="266"/>
      <c r="K122" s="286"/>
      <c r="L122" s="286"/>
      <c r="M122" s="266"/>
      <c r="N122" s="266"/>
    </row>
    <row r="123" spans="1:14" s="6" customFormat="1" ht="76.5" customHeight="1">
      <c r="A123" s="81" t="s">
        <v>76</v>
      </c>
      <c r="B123" s="82">
        <v>900</v>
      </c>
      <c r="C123" s="359">
        <v>830.74</v>
      </c>
      <c r="D123" s="359">
        <v>69.26</v>
      </c>
      <c r="E123" s="83" t="s">
        <v>75</v>
      </c>
      <c r="F123" s="395" t="s">
        <v>476</v>
      </c>
      <c r="G123" s="290"/>
      <c r="H123" s="290"/>
      <c r="I123" s="291"/>
      <c r="J123" s="266"/>
      <c r="K123" s="286"/>
      <c r="L123" s="286"/>
      <c r="M123" s="266"/>
      <c r="N123" s="266"/>
    </row>
    <row r="124" spans="1:14" s="6" customFormat="1" ht="49.5" customHeight="1">
      <c r="A124" s="45" t="s">
        <v>77</v>
      </c>
      <c r="B124" s="50">
        <v>2000</v>
      </c>
      <c r="C124" s="353">
        <v>1985.76</v>
      </c>
      <c r="D124" s="353">
        <v>14.24</v>
      </c>
      <c r="E124" s="46" t="s">
        <v>78</v>
      </c>
      <c r="F124" s="392" t="s">
        <v>514</v>
      </c>
      <c r="G124" s="290"/>
      <c r="H124" s="290"/>
      <c r="I124" s="291"/>
      <c r="J124" s="266"/>
      <c r="K124" s="286"/>
      <c r="L124" s="286"/>
      <c r="M124" s="266"/>
      <c r="N124" s="266"/>
    </row>
    <row r="125" spans="1:14" s="6" customFormat="1" ht="91.5" customHeight="1">
      <c r="A125" s="45" t="s">
        <v>79</v>
      </c>
      <c r="B125" s="50">
        <v>3000</v>
      </c>
      <c r="C125" s="353">
        <v>2999.57</v>
      </c>
      <c r="D125" s="353">
        <v>0.43</v>
      </c>
      <c r="E125" s="46" t="s">
        <v>78</v>
      </c>
      <c r="F125" s="392" t="s">
        <v>515</v>
      </c>
      <c r="G125" s="290"/>
      <c r="H125" s="290"/>
      <c r="I125" s="291"/>
      <c r="J125" s="266"/>
      <c r="K125" s="286"/>
      <c r="L125" s="286"/>
      <c r="M125" s="266"/>
      <c r="N125" s="266"/>
    </row>
    <row r="126" spans="1:14" s="6" customFormat="1" ht="50.25" customHeight="1">
      <c r="A126" s="45" t="s">
        <v>80</v>
      </c>
      <c r="B126" s="50">
        <v>5000</v>
      </c>
      <c r="C126" s="353">
        <v>5000</v>
      </c>
      <c r="D126" s="353">
        <v>0</v>
      </c>
      <c r="E126" s="46" t="s">
        <v>78</v>
      </c>
      <c r="F126" s="392" t="s">
        <v>516</v>
      </c>
      <c r="G126" s="290"/>
      <c r="H126" s="290"/>
      <c r="I126" s="291"/>
      <c r="J126" s="266"/>
      <c r="K126" s="286"/>
      <c r="L126" s="286"/>
      <c r="M126" s="266"/>
      <c r="N126" s="266"/>
    </row>
    <row r="127" spans="1:14" s="6" customFormat="1" ht="48.75" customHeight="1">
      <c r="A127" s="45" t="s">
        <v>81</v>
      </c>
      <c r="B127" s="50">
        <v>10000</v>
      </c>
      <c r="C127" s="353">
        <v>10000</v>
      </c>
      <c r="D127" s="353">
        <v>0</v>
      </c>
      <c r="E127" s="46" t="s">
        <v>82</v>
      </c>
      <c r="F127" s="392" t="s">
        <v>473</v>
      </c>
      <c r="G127" s="290"/>
      <c r="H127" s="290"/>
      <c r="I127" s="291"/>
      <c r="J127" s="266"/>
      <c r="K127" s="286"/>
      <c r="L127" s="286"/>
      <c r="M127" s="266"/>
      <c r="N127" s="266"/>
    </row>
    <row r="128" spans="1:14" s="6" customFormat="1" ht="38.25">
      <c r="A128" s="55" t="s">
        <v>83</v>
      </c>
      <c r="B128" s="84">
        <v>15000</v>
      </c>
      <c r="C128" s="360">
        <v>15000</v>
      </c>
      <c r="D128" s="360">
        <v>0</v>
      </c>
      <c r="E128" s="85" t="s">
        <v>78</v>
      </c>
      <c r="F128" s="396" t="s">
        <v>477</v>
      </c>
      <c r="G128" s="290"/>
      <c r="H128" s="290"/>
      <c r="I128" s="291"/>
      <c r="J128" s="266"/>
      <c r="K128" s="286"/>
      <c r="L128" s="286"/>
      <c r="M128" s="266"/>
      <c r="N128" s="266"/>
    </row>
    <row r="129" spans="1:14" s="6" customFormat="1" ht="15">
      <c r="A129" s="72"/>
      <c r="B129" s="67"/>
      <c r="C129" s="351"/>
      <c r="D129" s="351"/>
      <c r="E129" s="67"/>
      <c r="F129" s="397"/>
      <c r="G129" s="290"/>
      <c r="H129" s="290"/>
      <c r="I129" s="291"/>
      <c r="J129" s="266"/>
      <c r="K129" s="286"/>
      <c r="L129" s="286"/>
      <c r="M129" s="266"/>
      <c r="N129" s="266"/>
    </row>
    <row r="130" spans="1:14" s="6" customFormat="1" ht="15">
      <c r="A130" s="21" t="s">
        <v>6</v>
      </c>
      <c r="B130" s="34">
        <f>SUM(B131:B137)</f>
        <v>114752</v>
      </c>
      <c r="C130" s="361">
        <f>SUM(C131:C137)</f>
        <v>114720.98</v>
      </c>
      <c r="D130" s="361">
        <f>SUM(D131:D137)</f>
        <v>31.02</v>
      </c>
      <c r="E130" s="19"/>
      <c r="F130" s="419"/>
      <c r="G130" s="290"/>
      <c r="H130" s="290"/>
      <c r="I130" s="291"/>
      <c r="J130" s="266"/>
      <c r="K130" s="286"/>
      <c r="L130" s="286"/>
      <c r="M130" s="266"/>
      <c r="N130" s="266"/>
    </row>
    <row r="131" spans="1:14" s="6" customFormat="1" ht="153">
      <c r="A131" s="42" t="s">
        <v>84</v>
      </c>
      <c r="B131" s="50">
        <f>3000+7194</f>
        <v>10194</v>
      </c>
      <c r="C131" s="353">
        <v>10194</v>
      </c>
      <c r="D131" s="353">
        <v>0</v>
      </c>
      <c r="E131" s="43" t="s">
        <v>58</v>
      </c>
      <c r="F131" s="48" t="s">
        <v>453</v>
      </c>
      <c r="G131" s="282"/>
      <c r="H131" s="282"/>
      <c r="I131" s="265"/>
      <c r="J131" s="266"/>
      <c r="K131" s="286"/>
      <c r="L131" s="286"/>
      <c r="M131" s="266"/>
      <c r="N131" s="266"/>
    </row>
    <row r="132" spans="1:14" s="6" customFormat="1" ht="21.75" customHeight="1">
      <c r="A132" s="42" t="s">
        <v>260</v>
      </c>
      <c r="B132" s="44">
        <v>5000</v>
      </c>
      <c r="C132" s="336">
        <v>4996.93</v>
      </c>
      <c r="D132" s="336">
        <v>3.07</v>
      </c>
      <c r="E132" s="46" t="s">
        <v>37</v>
      </c>
      <c r="F132" s="392" t="s">
        <v>377</v>
      </c>
      <c r="G132" s="290"/>
      <c r="H132" s="290"/>
      <c r="I132" s="291"/>
      <c r="J132" s="266"/>
      <c r="K132" s="286"/>
      <c r="L132" s="286"/>
      <c r="M132" s="266"/>
      <c r="N132" s="266"/>
    </row>
    <row r="133" spans="1:14" s="6" customFormat="1" ht="87.75" customHeight="1">
      <c r="A133" s="81" t="s">
        <v>343</v>
      </c>
      <c r="B133" s="52">
        <v>84058</v>
      </c>
      <c r="C133" s="362">
        <v>84058</v>
      </c>
      <c r="D133" s="362">
        <v>0</v>
      </c>
      <c r="E133" s="87" t="s">
        <v>175</v>
      </c>
      <c r="F133" s="398" t="s">
        <v>517</v>
      </c>
      <c r="G133" s="264"/>
      <c r="H133" s="264"/>
      <c r="I133" s="265"/>
      <c r="J133" s="47"/>
      <c r="K133" s="308"/>
      <c r="L133" s="286"/>
      <c r="M133" s="266"/>
      <c r="N133" s="266"/>
    </row>
    <row r="134" spans="1:14" s="6" customFormat="1" ht="38.25">
      <c r="A134" s="42" t="s">
        <v>85</v>
      </c>
      <c r="B134" s="50">
        <f>10000-3000</f>
        <v>7000</v>
      </c>
      <c r="C134" s="353">
        <v>7000</v>
      </c>
      <c r="D134" s="353">
        <v>0</v>
      </c>
      <c r="E134" s="46" t="s">
        <v>86</v>
      </c>
      <c r="F134" s="392" t="s">
        <v>433</v>
      </c>
      <c r="G134" s="282"/>
      <c r="H134" s="282"/>
      <c r="I134" s="265"/>
      <c r="J134" s="47"/>
      <c r="K134" s="286"/>
      <c r="L134" s="286"/>
      <c r="M134" s="266"/>
      <c r="N134" s="266"/>
    </row>
    <row r="135" spans="1:14" s="6" customFormat="1" ht="354" customHeight="1">
      <c r="A135" s="42" t="s">
        <v>87</v>
      </c>
      <c r="B135" s="50">
        <f>4000+1500</f>
        <v>5500</v>
      </c>
      <c r="C135" s="353">
        <v>5472.05</v>
      </c>
      <c r="D135" s="353">
        <v>27.95</v>
      </c>
      <c r="E135" s="43" t="s">
        <v>88</v>
      </c>
      <c r="F135" s="48" t="s">
        <v>518</v>
      </c>
      <c r="G135" s="290"/>
      <c r="H135" s="290"/>
      <c r="I135" s="291"/>
      <c r="J135" s="266"/>
      <c r="K135" s="286"/>
      <c r="L135" s="286"/>
      <c r="M135" s="266"/>
      <c r="N135" s="266"/>
    </row>
    <row r="136" spans="1:14" s="6" customFormat="1" ht="39">
      <c r="A136" s="236" t="s">
        <v>275</v>
      </c>
      <c r="B136" s="64">
        <v>3000</v>
      </c>
      <c r="C136" s="355">
        <v>3000</v>
      </c>
      <c r="D136" s="355">
        <v>0</v>
      </c>
      <c r="E136" s="229" t="s">
        <v>58</v>
      </c>
      <c r="F136" s="393" t="s">
        <v>462</v>
      </c>
      <c r="G136" s="282"/>
      <c r="H136" s="282"/>
      <c r="I136" s="265"/>
      <c r="J136" s="266"/>
      <c r="K136" s="286"/>
      <c r="L136" s="286"/>
      <c r="M136" s="266"/>
      <c r="N136" s="266"/>
    </row>
    <row r="137" spans="1:14" s="6" customFormat="1" ht="15">
      <c r="A137" s="65"/>
      <c r="B137" s="67"/>
      <c r="C137" s="351"/>
      <c r="D137" s="351"/>
      <c r="E137" s="66"/>
      <c r="F137" s="394"/>
      <c r="G137" s="290"/>
      <c r="H137" s="290"/>
      <c r="I137" s="291"/>
      <c r="J137" s="266"/>
      <c r="K137" s="286"/>
      <c r="L137" s="286"/>
      <c r="M137" s="266"/>
      <c r="N137" s="266"/>
    </row>
    <row r="138" spans="1:14" s="6" customFormat="1" ht="30">
      <c r="A138" s="21" t="s">
        <v>7</v>
      </c>
      <c r="B138" s="34">
        <f>SUM(B139:B142)</f>
        <v>12000</v>
      </c>
      <c r="C138" s="361">
        <f>SUM(C139:C142)</f>
        <v>11970</v>
      </c>
      <c r="D138" s="361">
        <f>SUM(D139:D142)</f>
        <v>30</v>
      </c>
      <c r="E138" s="19"/>
      <c r="F138" s="419"/>
      <c r="G138" s="290"/>
      <c r="H138" s="290"/>
      <c r="I138" s="291"/>
      <c r="J138" s="266"/>
      <c r="K138" s="286"/>
      <c r="L138" s="286"/>
      <c r="M138" s="266"/>
      <c r="N138" s="266"/>
    </row>
    <row r="139" spans="1:14" s="6" customFormat="1" ht="76.5">
      <c r="A139" s="424" t="s">
        <v>89</v>
      </c>
      <c r="B139" s="54">
        <v>5000</v>
      </c>
      <c r="C139" s="363">
        <v>4970</v>
      </c>
      <c r="D139" s="363">
        <v>30</v>
      </c>
      <c r="E139" s="43" t="s">
        <v>90</v>
      </c>
      <c r="F139" s="48" t="s">
        <v>360</v>
      </c>
      <c r="G139" s="290"/>
      <c r="H139" s="290"/>
      <c r="I139" s="291"/>
      <c r="J139" s="266"/>
      <c r="K139" s="286"/>
      <c r="L139" s="286"/>
      <c r="M139" s="266"/>
      <c r="N139" s="266"/>
    </row>
    <row r="140" spans="1:14" s="6" customFormat="1" ht="76.5">
      <c r="A140" s="53" t="s">
        <v>91</v>
      </c>
      <c r="B140" s="54">
        <v>6000</v>
      </c>
      <c r="C140" s="363">
        <v>6000</v>
      </c>
      <c r="D140" s="363">
        <v>0</v>
      </c>
      <c r="E140" s="43" t="s">
        <v>90</v>
      </c>
      <c r="F140" s="48" t="s">
        <v>361</v>
      </c>
      <c r="G140" s="290"/>
      <c r="H140" s="290"/>
      <c r="I140" s="291"/>
      <c r="J140" s="266"/>
      <c r="K140" s="286"/>
      <c r="L140" s="286"/>
      <c r="M140" s="266"/>
      <c r="N140" s="266"/>
    </row>
    <row r="141" spans="1:14" s="6" customFormat="1" ht="51">
      <c r="A141" s="283" t="s">
        <v>92</v>
      </c>
      <c r="B141" s="54">
        <v>1000</v>
      </c>
      <c r="C141" s="363">
        <v>1000</v>
      </c>
      <c r="D141" s="363">
        <v>0</v>
      </c>
      <c r="E141" s="43" t="s">
        <v>90</v>
      </c>
      <c r="F141" s="48" t="s">
        <v>362</v>
      </c>
      <c r="G141" s="290"/>
      <c r="H141" s="290"/>
      <c r="I141" s="291"/>
      <c r="J141" s="266"/>
      <c r="K141" s="286"/>
      <c r="L141" s="286"/>
      <c r="M141" s="266"/>
      <c r="N141" s="266"/>
    </row>
    <row r="142" spans="1:14" s="6" customFormat="1" ht="15">
      <c r="A142" s="72"/>
      <c r="B142" s="67"/>
      <c r="C142" s="351"/>
      <c r="D142" s="351"/>
      <c r="E142" s="66"/>
      <c r="F142" s="394"/>
      <c r="G142" s="290"/>
      <c r="H142" s="290"/>
      <c r="I142" s="291"/>
      <c r="J142" s="266"/>
      <c r="K142" s="286"/>
      <c r="L142" s="286"/>
      <c r="M142" s="266"/>
      <c r="N142" s="266"/>
    </row>
    <row r="143" spans="1:14" s="6" customFormat="1" ht="45">
      <c r="A143" s="21" t="s">
        <v>282</v>
      </c>
      <c r="B143" s="35">
        <f>SUM(B144:B198)</f>
        <v>228378</v>
      </c>
      <c r="C143" s="348">
        <f>SUM(C144:C198)</f>
        <v>225945</v>
      </c>
      <c r="D143" s="348">
        <f>SUM(D144:D198)</f>
        <v>2433</v>
      </c>
      <c r="E143" s="19"/>
      <c r="F143" s="419"/>
      <c r="G143" s="290"/>
      <c r="H143" s="290"/>
      <c r="I143" s="291"/>
      <c r="J143" s="266"/>
      <c r="K143" s="286"/>
      <c r="L143" s="286"/>
      <c r="M143" s="266"/>
      <c r="N143" s="266"/>
    </row>
    <row r="144" spans="1:14" s="6" customFormat="1" ht="36.75" customHeight="1">
      <c r="A144" s="68" t="s">
        <v>93</v>
      </c>
      <c r="B144" s="90">
        <v>500</v>
      </c>
      <c r="C144" s="357">
        <v>500</v>
      </c>
      <c r="D144" s="357">
        <v>0</v>
      </c>
      <c r="E144" s="77" t="s">
        <v>94</v>
      </c>
      <c r="F144" s="399" t="s">
        <v>466</v>
      </c>
      <c r="G144" s="290"/>
      <c r="H144" s="290"/>
      <c r="I144" s="291"/>
      <c r="J144" s="266"/>
      <c r="K144" s="286"/>
      <c r="L144" s="286"/>
      <c r="M144" s="266"/>
      <c r="N144" s="266"/>
    </row>
    <row r="145" spans="1:14" s="6" customFormat="1" ht="38.25" customHeight="1">
      <c r="A145" s="68" t="s">
        <v>95</v>
      </c>
      <c r="B145" s="90">
        <v>1000</v>
      </c>
      <c r="C145" s="357">
        <v>1000</v>
      </c>
      <c r="D145" s="357">
        <v>0</v>
      </c>
      <c r="E145" s="77" t="s">
        <v>94</v>
      </c>
      <c r="F145" s="399" t="s">
        <v>467</v>
      </c>
      <c r="G145" s="290"/>
      <c r="H145" s="290"/>
      <c r="I145" s="291"/>
      <c r="J145" s="266"/>
      <c r="K145" s="286"/>
      <c r="L145" s="286"/>
      <c r="M145" s="266"/>
      <c r="N145" s="266"/>
    </row>
    <row r="146" spans="1:14" s="6" customFormat="1" ht="72.75" customHeight="1">
      <c r="A146" s="68" t="s">
        <v>96</v>
      </c>
      <c r="B146" s="90">
        <v>10000</v>
      </c>
      <c r="C146" s="357">
        <v>10000</v>
      </c>
      <c r="D146" s="357">
        <v>0</v>
      </c>
      <c r="E146" s="77" t="s">
        <v>97</v>
      </c>
      <c r="F146" s="399" t="s">
        <v>524</v>
      </c>
      <c r="G146" s="290"/>
      <c r="H146" s="290"/>
      <c r="I146" s="291"/>
      <c r="J146" s="266"/>
      <c r="K146" s="286"/>
      <c r="L146" s="286"/>
      <c r="M146" s="266"/>
      <c r="N146" s="266"/>
    </row>
    <row r="147" spans="1:14" s="6" customFormat="1" ht="15">
      <c r="A147" s="68" t="s">
        <v>98</v>
      </c>
      <c r="B147" s="90">
        <v>7000</v>
      </c>
      <c r="C147" s="357">
        <v>6994</v>
      </c>
      <c r="D147" s="357">
        <v>6</v>
      </c>
      <c r="E147" s="78" t="s">
        <v>99</v>
      </c>
      <c r="F147" s="69" t="s">
        <v>435</v>
      </c>
      <c r="G147" s="290"/>
      <c r="H147" s="290"/>
      <c r="I147" s="291"/>
      <c r="J147" s="266"/>
      <c r="K147" s="286"/>
      <c r="L147" s="286"/>
      <c r="M147" s="266"/>
      <c r="N147" s="266"/>
    </row>
    <row r="148" spans="1:14" s="6" customFormat="1" ht="22.5" customHeight="1">
      <c r="A148" s="68" t="s">
        <v>100</v>
      </c>
      <c r="B148" s="90">
        <v>3000</v>
      </c>
      <c r="C148" s="357">
        <v>3000</v>
      </c>
      <c r="D148" s="357">
        <v>0</v>
      </c>
      <c r="E148" s="78" t="s">
        <v>99</v>
      </c>
      <c r="F148" s="69" t="s">
        <v>397</v>
      </c>
      <c r="G148" s="290"/>
      <c r="H148" s="290"/>
      <c r="I148" s="291"/>
      <c r="J148" s="266"/>
      <c r="K148" s="286"/>
      <c r="L148" s="286"/>
      <c r="M148" s="266"/>
      <c r="N148" s="266"/>
    </row>
    <row r="149" spans="1:14" s="6" customFormat="1" ht="25.5">
      <c r="A149" s="68" t="s">
        <v>101</v>
      </c>
      <c r="B149" s="90">
        <f>10000+1000</f>
        <v>11000</v>
      </c>
      <c r="C149" s="357">
        <v>11000</v>
      </c>
      <c r="D149" s="357">
        <v>0</v>
      </c>
      <c r="E149" s="78" t="s">
        <v>102</v>
      </c>
      <c r="F149" s="69" t="s">
        <v>388</v>
      </c>
      <c r="G149" s="290"/>
      <c r="H149" s="290"/>
      <c r="I149" s="291"/>
      <c r="J149" s="266"/>
      <c r="K149" s="286"/>
      <c r="L149" s="286"/>
      <c r="M149" s="266"/>
      <c r="N149" s="266"/>
    </row>
    <row r="150" spans="1:14" s="6" customFormat="1" ht="129" customHeight="1">
      <c r="A150" s="80" t="s">
        <v>103</v>
      </c>
      <c r="B150" s="90">
        <f>20177-5000</f>
        <v>15177</v>
      </c>
      <c r="C150" s="357">
        <v>15177</v>
      </c>
      <c r="D150" s="357">
        <v>0</v>
      </c>
      <c r="E150" s="77" t="s">
        <v>58</v>
      </c>
      <c r="F150" s="399" t="s">
        <v>464</v>
      </c>
      <c r="G150" s="290"/>
      <c r="H150" s="290"/>
      <c r="I150" s="291"/>
      <c r="J150" s="266"/>
      <c r="K150" s="286"/>
      <c r="L150" s="286"/>
      <c r="M150" s="266"/>
      <c r="N150" s="266"/>
    </row>
    <row r="151" spans="1:14" s="62" customFormat="1" ht="93" customHeight="1">
      <c r="A151" s="80" t="s">
        <v>104</v>
      </c>
      <c r="B151" s="90">
        <f>6000-1000+2000</f>
        <v>7000</v>
      </c>
      <c r="C151" s="357">
        <v>7000</v>
      </c>
      <c r="D151" s="357">
        <v>0</v>
      </c>
      <c r="E151" s="77" t="s">
        <v>105</v>
      </c>
      <c r="F151" s="399" t="s">
        <v>469</v>
      </c>
      <c r="G151" s="282"/>
      <c r="H151" s="282"/>
      <c r="I151" s="265"/>
      <c r="J151" s="312"/>
      <c r="K151" s="300"/>
      <c r="L151" s="300"/>
      <c r="M151" s="299"/>
      <c r="N151" s="299"/>
    </row>
    <row r="152" spans="1:14" s="62" customFormat="1" ht="73.5" customHeight="1">
      <c r="A152" s="80" t="s">
        <v>106</v>
      </c>
      <c r="B152" s="90">
        <v>10000</v>
      </c>
      <c r="C152" s="357">
        <v>10000</v>
      </c>
      <c r="D152" s="357">
        <v>0</v>
      </c>
      <c r="E152" s="77" t="s">
        <v>107</v>
      </c>
      <c r="F152" s="399" t="s">
        <v>470</v>
      </c>
      <c r="G152" s="297"/>
      <c r="H152" s="297"/>
      <c r="I152" s="298"/>
      <c r="J152" s="299"/>
      <c r="K152" s="300"/>
      <c r="L152" s="300"/>
      <c r="M152" s="299"/>
      <c r="N152" s="299"/>
    </row>
    <row r="153" spans="1:14" s="6" customFormat="1" ht="51" customHeight="1">
      <c r="A153" s="74" t="s">
        <v>108</v>
      </c>
      <c r="B153" s="90">
        <v>3000</v>
      </c>
      <c r="C153" s="357">
        <v>3000</v>
      </c>
      <c r="D153" s="357">
        <v>0</v>
      </c>
      <c r="E153" s="76" t="s">
        <v>58</v>
      </c>
      <c r="F153" s="401" t="s">
        <v>454</v>
      </c>
      <c r="G153" s="290"/>
      <c r="H153" s="290"/>
      <c r="I153" s="291"/>
      <c r="J153" s="266"/>
      <c r="K153" s="286"/>
      <c r="L153" s="286"/>
      <c r="M153" s="266"/>
      <c r="N153" s="266"/>
    </row>
    <row r="154" spans="1:14" s="6" customFormat="1" ht="111" customHeight="1">
      <c r="A154" s="68" t="s">
        <v>109</v>
      </c>
      <c r="B154" s="90">
        <v>28453</v>
      </c>
      <c r="C154" s="357">
        <v>28453</v>
      </c>
      <c r="D154" s="357">
        <v>0</v>
      </c>
      <c r="E154" s="76" t="s">
        <v>58</v>
      </c>
      <c r="F154" s="401" t="s">
        <v>461</v>
      </c>
      <c r="G154" s="290"/>
      <c r="H154" s="290"/>
      <c r="I154" s="291"/>
      <c r="J154" s="266"/>
      <c r="K154" s="286"/>
      <c r="L154" s="286"/>
      <c r="M154" s="266"/>
      <c r="N154" s="266"/>
    </row>
    <row r="155" spans="1:14" s="6" customFormat="1" ht="15">
      <c r="A155" s="333" t="s">
        <v>344</v>
      </c>
      <c r="B155" s="88">
        <v>6000</v>
      </c>
      <c r="C155" s="364">
        <v>6000</v>
      </c>
      <c r="D155" s="364">
        <v>0</v>
      </c>
      <c r="E155" s="89" t="s">
        <v>357</v>
      </c>
      <c r="F155" s="425" t="s">
        <v>379</v>
      </c>
      <c r="G155" s="301"/>
      <c r="H155" s="301"/>
      <c r="I155" s="319"/>
      <c r="J155" s="266"/>
      <c r="K155" s="286"/>
      <c r="L155" s="286"/>
      <c r="M155" s="266"/>
      <c r="N155" s="266"/>
    </row>
    <row r="156" spans="1:14" s="6" customFormat="1" ht="27.75" customHeight="1">
      <c r="A156" s="333" t="s">
        <v>345</v>
      </c>
      <c r="B156" s="88">
        <v>1000</v>
      </c>
      <c r="C156" s="364">
        <v>1000</v>
      </c>
      <c r="D156" s="364">
        <v>0</v>
      </c>
      <c r="E156" s="89" t="s">
        <v>357</v>
      </c>
      <c r="F156" s="425" t="s">
        <v>380</v>
      </c>
      <c r="G156" s="301"/>
      <c r="H156" s="301"/>
      <c r="I156" s="319"/>
      <c r="J156" s="266"/>
      <c r="K156" s="286"/>
      <c r="L156" s="286"/>
      <c r="M156" s="266"/>
      <c r="N156" s="266"/>
    </row>
    <row r="157" spans="1:14" s="6" customFormat="1" ht="25.5">
      <c r="A157" s="333" t="s">
        <v>346</v>
      </c>
      <c r="B157" s="88">
        <v>2000</v>
      </c>
      <c r="C157" s="364">
        <v>2000</v>
      </c>
      <c r="D157" s="364">
        <v>0</v>
      </c>
      <c r="E157" s="89" t="s">
        <v>357</v>
      </c>
      <c r="F157" s="425" t="s">
        <v>381</v>
      </c>
      <c r="G157" s="301"/>
      <c r="H157" s="301"/>
      <c r="I157" s="319"/>
      <c r="J157" s="266"/>
      <c r="K157" s="286"/>
      <c r="L157" s="286"/>
      <c r="M157" s="266"/>
      <c r="N157" s="266"/>
    </row>
    <row r="158" spans="1:14" s="6" customFormat="1" ht="123" customHeight="1">
      <c r="A158" s="68" t="s">
        <v>110</v>
      </c>
      <c r="B158" s="90">
        <v>1500</v>
      </c>
      <c r="C158" s="357">
        <v>1500</v>
      </c>
      <c r="D158" s="357">
        <v>0</v>
      </c>
      <c r="E158" s="76" t="s">
        <v>97</v>
      </c>
      <c r="F158" s="401" t="s">
        <v>519</v>
      </c>
      <c r="G158" s="290"/>
      <c r="H158" s="290"/>
      <c r="I158" s="291"/>
      <c r="J158" s="266"/>
      <c r="K158" s="286"/>
      <c r="L158" s="286"/>
      <c r="M158" s="266"/>
      <c r="N158" s="266"/>
    </row>
    <row r="159" spans="1:14" s="6" customFormat="1" ht="63" customHeight="1">
      <c r="A159" s="68" t="s">
        <v>111</v>
      </c>
      <c r="B159" s="90">
        <v>4000</v>
      </c>
      <c r="C159" s="357">
        <v>4000</v>
      </c>
      <c r="D159" s="357">
        <v>0</v>
      </c>
      <c r="E159" s="78" t="s">
        <v>112</v>
      </c>
      <c r="F159" s="69" t="s">
        <v>398</v>
      </c>
      <c r="G159" s="290"/>
      <c r="H159" s="290"/>
      <c r="I159" s="291"/>
      <c r="J159" s="266"/>
      <c r="K159" s="286"/>
      <c r="L159" s="286"/>
      <c r="M159" s="266"/>
      <c r="N159" s="266"/>
    </row>
    <row r="160" spans="1:14" s="6" customFormat="1" ht="51">
      <c r="A160" s="68" t="s">
        <v>113</v>
      </c>
      <c r="B160" s="90">
        <v>1200</v>
      </c>
      <c r="C160" s="357">
        <v>1200</v>
      </c>
      <c r="D160" s="357">
        <v>0</v>
      </c>
      <c r="E160" s="78" t="s">
        <v>112</v>
      </c>
      <c r="F160" s="69" t="s">
        <v>399</v>
      </c>
      <c r="G160" s="290"/>
      <c r="H160" s="290"/>
      <c r="I160" s="291"/>
      <c r="J160" s="266"/>
      <c r="K160" s="286"/>
      <c r="L160" s="286"/>
      <c r="M160" s="266"/>
      <c r="N160" s="266"/>
    </row>
    <row r="161" spans="1:14" s="6" customFormat="1" ht="25.5">
      <c r="A161" s="68" t="s">
        <v>114</v>
      </c>
      <c r="B161" s="90">
        <f>3500+700</f>
        <v>4200</v>
      </c>
      <c r="C161" s="357">
        <v>3657</v>
      </c>
      <c r="D161" s="357">
        <v>543</v>
      </c>
      <c r="E161" s="78" t="s">
        <v>115</v>
      </c>
      <c r="F161" s="69" t="s">
        <v>400</v>
      </c>
      <c r="G161" s="290"/>
      <c r="H161" s="290"/>
      <c r="I161" s="291"/>
      <c r="J161" s="266"/>
      <c r="K161" s="286"/>
      <c r="L161" s="286"/>
      <c r="M161" s="266"/>
      <c r="N161" s="266"/>
    </row>
    <row r="162" spans="1:14" s="6" customFormat="1" ht="25.5">
      <c r="A162" s="68" t="s">
        <v>116</v>
      </c>
      <c r="B162" s="90">
        <f>900+300+500</f>
        <v>1700</v>
      </c>
      <c r="C162" s="357">
        <v>1700</v>
      </c>
      <c r="D162" s="357">
        <v>0</v>
      </c>
      <c r="E162" s="78" t="s">
        <v>115</v>
      </c>
      <c r="F162" s="69" t="s">
        <v>401</v>
      </c>
      <c r="G162" s="290"/>
      <c r="H162" s="290"/>
      <c r="I162" s="291"/>
      <c r="J162" s="266"/>
      <c r="K162" s="286"/>
      <c r="L162" s="286"/>
      <c r="M162" s="266"/>
      <c r="N162" s="266"/>
    </row>
    <row r="163" spans="1:14" s="6" customFormat="1" ht="38.25">
      <c r="A163" s="68" t="s">
        <v>117</v>
      </c>
      <c r="B163" s="90">
        <v>8000</v>
      </c>
      <c r="C163" s="357">
        <v>8000</v>
      </c>
      <c r="D163" s="357">
        <v>0</v>
      </c>
      <c r="E163" s="78" t="s">
        <v>118</v>
      </c>
      <c r="F163" s="69" t="s">
        <v>402</v>
      </c>
      <c r="G163" s="290"/>
      <c r="H163" s="290"/>
      <c r="I163" s="291"/>
      <c r="J163" s="266"/>
      <c r="K163" s="286"/>
      <c r="L163" s="286"/>
      <c r="M163" s="266"/>
      <c r="N163" s="266"/>
    </row>
    <row r="164" spans="1:14" s="6" customFormat="1" ht="38.25">
      <c r="A164" s="68" t="s">
        <v>119</v>
      </c>
      <c r="B164" s="90">
        <f>2200+800</f>
        <v>3000</v>
      </c>
      <c r="C164" s="357">
        <v>3000</v>
      </c>
      <c r="D164" s="357">
        <v>0</v>
      </c>
      <c r="E164" s="78" t="s">
        <v>118</v>
      </c>
      <c r="F164" s="69" t="s">
        <v>403</v>
      </c>
      <c r="G164" s="290"/>
      <c r="H164" s="290"/>
      <c r="I164" s="291"/>
      <c r="J164" s="266"/>
      <c r="K164" s="286"/>
      <c r="L164" s="286"/>
      <c r="M164" s="266"/>
      <c r="N164" s="266"/>
    </row>
    <row r="165" spans="1:14" s="6" customFormat="1" ht="25.5">
      <c r="A165" s="68" t="s">
        <v>120</v>
      </c>
      <c r="B165" s="90">
        <v>6300</v>
      </c>
      <c r="C165" s="357">
        <v>6300</v>
      </c>
      <c r="D165" s="357">
        <v>0</v>
      </c>
      <c r="E165" s="78" t="s">
        <v>121</v>
      </c>
      <c r="F165" s="69" t="s">
        <v>404</v>
      </c>
      <c r="G165" s="290"/>
      <c r="H165" s="290"/>
      <c r="I165" s="291"/>
      <c r="J165" s="266"/>
      <c r="K165" s="286"/>
      <c r="L165" s="286"/>
      <c r="M165" s="266"/>
      <c r="N165" s="266"/>
    </row>
    <row r="166" spans="1:14" s="6" customFormat="1" ht="25.5">
      <c r="A166" s="68" t="s">
        <v>122</v>
      </c>
      <c r="B166" s="90">
        <f>1600+548</f>
        <v>2148</v>
      </c>
      <c r="C166" s="357">
        <v>1598</v>
      </c>
      <c r="D166" s="357">
        <v>550</v>
      </c>
      <c r="E166" s="78" t="s">
        <v>121</v>
      </c>
      <c r="F166" s="69" t="s">
        <v>405</v>
      </c>
      <c r="G166" s="290"/>
      <c r="H166" s="290"/>
      <c r="I166" s="291"/>
      <c r="J166" s="266"/>
      <c r="K166" s="286"/>
      <c r="L166" s="286"/>
      <c r="M166" s="266"/>
      <c r="N166" s="266"/>
    </row>
    <row r="167" spans="1:14" s="6" customFormat="1" ht="25.5">
      <c r="A167" s="68" t="s">
        <v>123</v>
      </c>
      <c r="B167" s="90">
        <v>1000</v>
      </c>
      <c r="C167" s="357">
        <v>999</v>
      </c>
      <c r="D167" s="357">
        <v>1</v>
      </c>
      <c r="E167" s="78" t="s">
        <v>124</v>
      </c>
      <c r="F167" s="69" t="s">
        <v>406</v>
      </c>
      <c r="G167" s="290"/>
      <c r="H167" s="290"/>
      <c r="I167" s="291"/>
      <c r="J167" s="266"/>
      <c r="K167" s="286"/>
      <c r="L167" s="286"/>
      <c r="M167" s="266"/>
      <c r="N167" s="266"/>
    </row>
    <row r="168" spans="1:14" s="6" customFormat="1" ht="15">
      <c r="A168" s="68" t="s">
        <v>125</v>
      </c>
      <c r="B168" s="90">
        <v>500</v>
      </c>
      <c r="C168" s="357">
        <v>499</v>
      </c>
      <c r="D168" s="357">
        <v>1</v>
      </c>
      <c r="E168" s="78" t="s">
        <v>124</v>
      </c>
      <c r="F168" s="69" t="s">
        <v>407</v>
      </c>
      <c r="G168" s="290"/>
      <c r="H168" s="290"/>
      <c r="I168" s="291"/>
      <c r="J168" s="266"/>
      <c r="K168" s="286"/>
      <c r="L168" s="286"/>
      <c r="M168" s="266"/>
      <c r="N168" s="266"/>
    </row>
    <row r="169" spans="1:14" s="6" customFormat="1" ht="15">
      <c r="A169" s="68" t="s">
        <v>126</v>
      </c>
      <c r="B169" s="90">
        <v>3000</v>
      </c>
      <c r="C169" s="357">
        <v>3000</v>
      </c>
      <c r="D169" s="357">
        <v>0</v>
      </c>
      <c r="E169" s="78" t="s">
        <v>127</v>
      </c>
      <c r="F169" s="69" t="s">
        <v>408</v>
      </c>
      <c r="G169" s="290"/>
      <c r="H169" s="290"/>
      <c r="I169" s="291"/>
      <c r="J169" s="266"/>
      <c r="K169" s="286"/>
      <c r="L169" s="286"/>
      <c r="M169" s="266"/>
      <c r="N169" s="266"/>
    </row>
    <row r="170" spans="1:14" s="6" customFormat="1" ht="25.5">
      <c r="A170" s="68" t="s">
        <v>128</v>
      </c>
      <c r="B170" s="90">
        <v>700</v>
      </c>
      <c r="C170" s="357">
        <v>700</v>
      </c>
      <c r="D170" s="357">
        <v>0</v>
      </c>
      <c r="E170" s="78" t="s">
        <v>127</v>
      </c>
      <c r="F170" s="69" t="s">
        <v>409</v>
      </c>
      <c r="G170" s="290"/>
      <c r="H170" s="290"/>
      <c r="I170" s="291"/>
      <c r="J170" s="266"/>
      <c r="K170" s="286"/>
      <c r="L170" s="286"/>
      <c r="M170" s="266"/>
      <c r="N170" s="266"/>
    </row>
    <row r="171" spans="1:14" s="6" customFormat="1" ht="51">
      <c r="A171" s="68" t="s">
        <v>129</v>
      </c>
      <c r="B171" s="90">
        <v>3000</v>
      </c>
      <c r="C171" s="357">
        <v>3000</v>
      </c>
      <c r="D171" s="357">
        <v>0</v>
      </c>
      <c r="E171" s="78" t="s">
        <v>130</v>
      </c>
      <c r="F171" s="69" t="s">
        <v>410</v>
      </c>
      <c r="G171" s="290"/>
      <c r="H171" s="290"/>
      <c r="I171" s="291"/>
      <c r="J171" s="266"/>
      <c r="K171" s="286"/>
      <c r="L171" s="286"/>
      <c r="M171" s="266"/>
      <c r="N171" s="266"/>
    </row>
    <row r="172" spans="1:14" s="6" customFormat="1" ht="25.5">
      <c r="A172" s="68" t="s">
        <v>131</v>
      </c>
      <c r="B172" s="90">
        <v>700</v>
      </c>
      <c r="C172" s="357">
        <v>700</v>
      </c>
      <c r="D172" s="357">
        <v>0</v>
      </c>
      <c r="E172" s="78" t="s">
        <v>130</v>
      </c>
      <c r="F172" s="69" t="s">
        <v>411</v>
      </c>
      <c r="G172" s="290"/>
      <c r="H172" s="290"/>
      <c r="I172" s="291"/>
      <c r="J172" s="266"/>
      <c r="K172" s="286"/>
      <c r="L172" s="286"/>
      <c r="M172" s="266"/>
      <c r="N172" s="266"/>
    </row>
    <row r="173" spans="1:14" s="6" customFormat="1" ht="15">
      <c r="A173" s="68" t="s">
        <v>132</v>
      </c>
      <c r="B173" s="90">
        <v>3000</v>
      </c>
      <c r="C173" s="357">
        <v>3000</v>
      </c>
      <c r="D173" s="357">
        <v>0</v>
      </c>
      <c r="E173" s="78" t="s">
        <v>133</v>
      </c>
      <c r="F173" s="69" t="s">
        <v>389</v>
      </c>
      <c r="G173" s="290"/>
      <c r="H173" s="290"/>
      <c r="I173" s="291"/>
      <c r="J173" s="266"/>
      <c r="K173" s="286"/>
      <c r="L173" s="286"/>
      <c r="M173" s="266"/>
      <c r="N173" s="266"/>
    </row>
    <row r="174" spans="1:14" s="6" customFormat="1" ht="45">
      <c r="A174" s="68" t="s">
        <v>134</v>
      </c>
      <c r="B174" s="90">
        <v>1000</v>
      </c>
      <c r="C174" s="357">
        <v>0</v>
      </c>
      <c r="D174" s="357">
        <v>1000</v>
      </c>
      <c r="E174" s="78" t="s">
        <v>66</v>
      </c>
      <c r="F174" s="69" t="s">
        <v>412</v>
      </c>
      <c r="G174" s="86"/>
      <c r="H174" s="402" t="s">
        <v>391</v>
      </c>
      <c r="I174" s="291"/>
      <c r="J174" s="266"/>
      <c r="K174" s="286"/>
      <c r="L174" s="286"/>
      <c r="M174" s="266"/>
      <c r="N174" s="266"/>
    </row>
    <row r="175" spans="1:14" s="6" customFormat="1" ht="25.5">
      <c r="A175" s="68" t="s">
        <v>135</v>
      </c>
      <c r="B175" s="90">
        <v>3500</v>
      </c>
      <c r="C175" s="357">
        <v>3500</v>
      </c>
      <c r="D175" s="357">
        <v>0</v>
      </c>
      <c r="E175" s="78" t="s">
        <v>112</v>
      </c>
      <c r="F175" s="69" t="s">
        <v>413</v>
      </c>
      <c r="G175" s="290"/>
      <c r="H175" s="290"/>
      <c r="I175" s="291"/>
      <c r="J175" s="266"/>
      <c r="K175" s="286"/>
      <c r="L175" s="286"/>
      <c r="M175" s="266"/>
      <c r="N175" s="266"/>
    </row>
    <row r="176" spans="1:14" s="6" customFormat="1" ht="25.5">
      <c r="A176" s="68" t="s">
        <v>136</v>
      </c>
      <c r="B176" s="90">
        <v>2000</v>
      </c>
      <c r="C176" s="357">
        <v>2000</v>
      </c>
      <c r="D176" s="357">
        <v>0</v>
      </c>
      <c r="E176" s="78" t="s">
        <v>66</v>
      </c>
      <c r="F176" s="69" t="s">
        <v>413</v>
      </c>
      <c r="G176" s="290"/>
      <c r="H176" s="290"/>
      <c r="I176" s="291"/>
      <c r="J176" s="266"/>
      <c r="K176" s="286"/>
      <c r="L176" s="286"/>
      <c r="M176" s="266"/>
      <c r="N176" s="266"/>
    </row>
    <row r="177" spans="1:14" s="6" customFormat="1" ht="15">
      <c r="A177" s="68" t="s">
        <v>137</v>
      </c>
      <c r="B177" s="90">
        <v>13000</v>
      </c>
      <c r="C177" s="357">
        <v>12891</v>
      </c>
      <c r="D177" s="357">
        <v>109</v>
      </c>
      <c r="E177" s="78" t="s">
        <v>118</v>
      </c>
      <c r="F177" s="69" t="s">
        <v>414</v>
      </c>
      <c r="G177" s="290"/>
      <c r="H177" s="290"/>
      <c r="I177" s="291"/>
      <c r="J177" s="266"/>
      <c r="K177" s="286"/>
      <c r="L177" s="286"/>
      <c r="M177" s="266"/>
      <c r="N177" s="266"/>
    </row>
    <row r="178" spans="1:14" s="6" customFormat="1" ht="25.5">
      <c r="A178" s="68" t="s">
        <v>138</v>
      </c>
      <c r="B178" s="90">
        <v>2000</v>
      </c>
      <c r="C178" s="357">
        <v>2000</v>
      </c>
      <c r="D178" s="357">
        <v>0</v>
      </c>
      <c r="E178" s="71" t="s">
        <v>139</v>
      </c>
      <c r="F178" s="405" t="s">
        <v>378</v>
      </c>
      <c r="G178" s="290"/>
      <c r="H178" s="290"/>
      <c r="I178" s="291"/>
      <c r="J178" s="266"/>
      <c r="K178" s="286"/>
      <c r="L178" s="286"/>
      <c r="M178" s="266"/>
      <c r="N178" s="266"/>
    </row>
    <row r="179" spans="1:14" s="6" customFormat="1" ht="15">
      <c r="A179" s="68" t="s">
        <v>140</v>
      </c>
      <c r="B179" s="90">
        <f>1500+2000</f>
        <v>3500</v>
      </c>
      <c r="C179" s="357">
        <v>3500</v>
      </c>
      <c r="D179" s="357">
        <v>0</v>
      </c>
      <c r="E179" s="78" t="s">
        <v>115</v>
      </c>
      <c r="F179" s="69" t="s">
        <v>415</v>
      </c>
      <c r="G179" s="282"/>
      <c r="H179" s="282"/>
      <c r="I179" s="265"/>
      <c r="J179" s="266"/>
      <c r="K179" s="286"/>
      <c r="L179" s="286"/>
      <c r="M179" s="266"/>
      <c r="N179" s="266"/>
    </row>
    <row r="180" spans="1:14" s="6" customFormat="1" ht="25.5">
      <c r="A180" s="68" t="s">
        <v>141</v>
      </c>
      <c r="B180" s="90">
        <f>3500+2000</f>
        <v>5500</v>
      </c>
      <c r="C180" s="357">
        <v>5499</v>
      </c>
      <c r="D180" s="357">
        <v>1</v>
      </c>
      <c r="E180" s="78" t="s">
        <v>118</v>
      </c>
      <c r="F180" s="69" t="s">
        <v>416</v>
      </c>
      <c r="G180" s="282"/>
      <c r="H180" s="282"/>
      <c r="I180" s="265"/>
      <c r="J180" s="266"/>
      <c r="K180" s="286"/>
      <c r="L180" s="286"/>
      <c r="M180" s="266"/>
      <c r="N180" s="266"/>
    </row>
    <row r="181" spans="1:14" s="6" customFormat="1" ht="25.5">
      <c r="A181" s="68" t="s">
        <v>142</v>
      </c>
      <c r="B181" s="90">
        <f>2600+2000</f>
        <v>4600</v>
      </c>
      <c r="C181" s="357">
        <v>4600</v>
      </c>
      <c r="D181" s="357">
        <v>0</v>
      </c>
      <c r="E181" s="78" t="s">
        <v>121</v>
      </c>
      <c r="F181" s="69" t="s">
        <v>417</v>
      </c>
      <c r="G181" s="282"/>
      <c r="H181" s="282"/>
      <c r="I181" s="265"/>
      <c r="J181" s="266"/>
      <c r="K181" s="286"/>
      <c r="L181" s="286"/>
      <c r="M181" s="266"/>
      <c r="N181" s="266"/>
    </row>
    <row r="182" spans="1:14" s="6" customFormat="1" ht="15">
      <c r="A182" s="68" t="s">
        <v>143</v>
      </c>
      <c r="B182" s="90">
        <v>1400</v>
      </c>
      <c r="C182" s="357">
        <v>1200</v>
      </c>
      <c r="D182" s="357">
        <v>200</v>
      </c>
      <c r="E182" s="78" t="s">
        <v>112</v>
      </c>
      <c r="F182" s="69" t="s">
        <v>418</v>
      </c>
      <c r="G182" s="290"/>
      <c r="H182" s="290"/>
      <c r="I182" s="291"/>
      <c r="J182" s="266"/>
      <c r="K182" s="286"/>
      <c r="L182" s="286"/>
      <c r="M182" s="266"/>
      <c r="N182" s="266"/>
    </row>
    <row r="183" spans="1:14" s="6" customFormat="1" ht="38.25">
      <c r="A183" s="68" t="s">
        <v>144</v>
      </c>
      <c r="B183" s="90">
        <v>2000</v>
      </c>
      <c r="C183" s="357">
        <v>1993</v>
      </c>
      <c r="D183" s="357">
        <v>7</v>
      </c>
      <c r="E183" s="78" t="s">
        <v>145</v>
      </c>
      <c r="F183" s="69" t="s">
        <v>419</v>
      </c>
      <c r="G183" s="290"/>
      <c r="H183" s="290"/>
      <c r="I183" s="291"/>
      <c r="J183" s="266"/>
      <c r="K183" s="286"/>
      <c r="L183" s="286"/>
      <c r="M183" s="266"/>
      <c r="N183" s="266"/>
    </row>
    <row r="184" spans="1:14" s="6" customFormat="1" ht="15">
      <c r="A184" s="68" t="s">
        <v>146</v>
      </c>
      <c r="B184" s="90">
        <v>1000</v>
      </c>
      <c r="C184" s="357">
        <v>999</v>
      </c>
      <c r="D184" s="357">
        <v>1</v>
      </c>
      <c r="E184" s="78" t="s">
        <v>347</v>
      </c>
      <c r="F184" s="69" t="s">
        <v>420</v>
      </c>
      <c r="G184" s="282"/>
      <c r="H184" s="282"/>
      <c r="I184" s="265"/>
      <c r="J184" s="266"/>
      <c r="K184" s="286"/>
      <c r="L184" s="286"/>
      <c r="M184" s="266"/>
      <c r="N184" s="266"/>
    </row>
    <row r="185" spans="1:14" s="6" customFormat="1" ht="43.5" customHeight="1">
      <c r="A185" s="68" t="s">
        <v>147</v>
      </c>
      <c r="B185" s="90">
        <v>500</v>
      </c>
      <c r="C185" s="357">
        <v>499</v>
      </c>
      <c r="D185" s="357">
        <v>1</v>
      </c>
      <c r="E185" s="78" t="s">
        <v>124</v>
      </c>
      <c r="F185" s="69" t="s">
        <v>421</v>
      </c>
      <c r="G185" s="290"/>
      <c r="H185" s="290"/>
      <c r="I185" s="291"/>
      <c r="J185" s="266"/>
      <c r="K185" s="286"/>
      <c r="L185" s="286"/>
      <c r="M185" s="266"/>
      <c r="N185" s="266"/>
    </row>
    <row r="186" spans="1:14" s="6" customFormat="1" ht="25.5">
      <c r="A186" s="68" t="s">
        <v>148</v>
      </c>
      <c r="B186" s="90">
        <v>500</v>
      </c>
      <c r="C186" s="357">
        <v>500</v>
      </c>
      <c r="D186" s="357">
        <v>0</v>
      </c>
      <c r="E186" s="78" t="s">
        <v>149</v>
      </c>
      <c r="F186" s="69" t="s">
        <v>422</v>
      </c>
      <c r="G186" s="290"/>
      <c r="H186" s="290"/>
      <c r="I186" s="291"/>
      <c r="J186" s="266"/>
      <c r="K186" s="286"/>
      <c r="L186" s="286"/>
      <c r="M186" s="266"/>
      <c r="N186" s="266"/>
    </row>
    <row r="187" spans="1:14" s="6" customFormat="1" ht="25.5">
      <c r="A187" s="68" t="s">
        <v>150</v>
      </c>
      <c r="B187" s="90">
        <v>4000</v>
      </c>
      <c r="C187" s="357">
        <v>4000</v>
      </c>
      <c r="D187" s="357">
        <v>0</v>
      </c>
      <c r="E187" s="78" t="s">
        <v>99</v>
      </c>
      <c r="F187" s="69" t="s">
        <v>423</v>
      </c>
      <c r="G187" s="290"/>
      <c r="H187" s="290"/>
      <c r="I187" s="291"/>
      <c r="J187" s="266"/>
      <c r="K187" s="286"/>
      <c r="L187" s="286"/>
      <c r="M187" s="266"/>
      <c r="N187" s="266"/>
    </row>
    <row r="188" spans="1:14" s="6" customFormat="1" ht="15">
      <c r="A188" s="68" t="s">
        <v>151</v>
      </c>
      <c r="B188" s="91">
        <v>3000</v>
      </c>
      <c r="C188" s="352">
        <v>3000</v>
      </c>
      <c r="D188" s="352">
        <v>0</v>
      </c>
      <c r="E188" s="71" t="s">
        <v>145</v>
      </c>
      <c r="F188" s="426" t="s">
        <v>424</v>
      </c>
      <c r="G188" s="290"/>
      <c r="H188" s="290"/>
      <c r="I188" s="291"/>
      <c r="J188" s="266"/>
      <c r="K188" s="286"/>
      <c r="L188" s="286"/>
      <c r="M188" s="266"/>
      <c r="N188" s="266"/>
    </row>
    <row r="189" spans="1:14" s="6" customFormat="1" ht="25.5">
      <c r="A189" s="47" t="s">
        <v>152</v>
      </c>
      <c r="B189" s="91">
        <v>2000</v>
      </c>
      <c r="C189" s="352">
        <v>1996</v>
      </c>
      <c r="D189" s="352">
        <v>4</v>
      </c>
      <c r="E189" s="71" t="s">
        <v>149</v>
      </c>
      <c r="F189" s="405" t="s">
        <v>425</v>
      </c>
      <c r="G189" s="290"/>
      <c r="H189" s="290"/>
      <c r="I189" s="291"/>
      <c r="J189" s="266"/>
      <c r="K189" s="286"/>
      <c r="L189" s="286"/>
      <c r="M189" s="266"/>
      <c r="N189" s="266"/>
    </row>
    <row r="190" spans="1:14" s="6" customFormat="1" ht="15">
      <c r="A190" s="47" t="s">
        <v>153</v>
      </c>
      <c r="B190" s="91">
        <v>2000</v>
      </c>
      <c r="C190" s="352">
        <v>2000</v>
      </c>
      <c r="D190" s="352">
        <v>0</v>
      </c>
      <c r="E190" s="71" t="s">
        <v>149</v>
      </c>
      <c r="F190" s="426" t="s">
        <v>426</v>
      </c>
      <c r="G190" s="290"/>
      <c r="H190" s="290"/>
      <c r="I190" s="291"/>
      <c r="J190" s="266"/>
      <c r="K190" s="286"/>
      <c r="L190" s="286"/>
      <c r="M190" s="266"/>
      <c r="N190" s="266"/>
    </row>
    <row r="191" spans="1:14" s="6" customFormat="1" ht="15">
      <c r="A191" s="47" t="s">
        <v>171</v>
      </c>
      <c r="B191" s="92">
        <v>5000</v>
      </c>
      <c r="C191" s="349">
        <v>5000</v>
      </c>
      <c r="D191" s="349">
        <v>0</v>
      </c>
      <c r="E191" s="71" t="s">
        <v>99</v>
      </c>
      <c r="F191" s="426" t="s">
        <v>427</v>
      </c>
      <c r="G191" s="290"/>
      <c r="H191" s="290"/>
      <c r="I191" s="291"/>
      <c r="J191" s="266"/>
      <c r="K191" s="286"/>
      <c r="L191" s="286"/>
      <c r="M191" s="266"/>
      <c r="N191" s="266"/>
    </row>
    <row r="192" spans="1:14" s="6" customFormat="1" ht="15">
      <c r="A192" s="47" t="s">
        <v>172</v>
      </c>
      <c r="B192" s="92">
        <v>5000</v>
      </c>
      <c r="C192" s="349">
        <v>5000</v>
      </c>
      <c r="D192" s="349">
        <v>0</v>
      </c>
      <c r="E192" s="71" t="s">
        <v>118</v>
      </c>
      <c r="F192" s="426" t="s">
        <v>427</v>
      </c>
      <c r="G192" s="290"/>
      <c r="H192" s="290"/>
      <c r="I192" s="291"/>
      <c r="J192" s="266"/>
      <c r="K192" s="286"/>
      <c r="L192" s="286"/>
      <c r="M192" s="266"/>
      <c r="N192" s="266"/>
    </row>
    <row r="193" spans="1:14" s="6" customFormat="1" ht="15">
      <c r="A193" s="47" t="s">
        <v>173</v>
      </c>
      <c r="B193" s="92">
        <v>5000</v>
      </c>
      <c r="C193" s="349">
        <v>4991</v>
      </c>
      <c r="D193" s="349">
        <v>9</v>
      </c>
      <c r="E193" s="71" t="s">
        <v>174</v>
      </c>
      <c r="F193" s="426" t="s">
        <v>427</v>
      </c>
      <c r="G193" s="290"/>
      <c r="H193" s="290"/>
      <c r="I193" s="291"/>
      <c r="J193" s="266"/>
      <c r="K193" s="286"/>
      <c r="L193" s="286"/>
      <c r="M193" s="266"/>
      <c r="N193" s="266"/>
    </row>
    <row r="194" spans="1:14" s="6" customFormat="1" ht="38.25">
      <c r="A194" s="47" t="s">
        <v>277</v>
      </c>
      <c r="B194" s="92">
        <v>1000</v>
      </c>
      <c r="C194" s="349">
        <v>1000</v>
      </c>
      <c r="D194" s="349">
        <v>0</v>
      </c>
      <c r="E194" s="71" t="s">
        <v>58</v>
      </c>
      <c r="F194" s="405" t="s">
        <v>463</v>
      </c>
      <c r="G194" s="282"/>
      <c r="H194" s="282"/>
      <c r="I194" s="265"/>
      <c r="J194" s="266"/>
      <c r="K194" s="286"/>
      <c r="L194" s="286"/>
      <c r="M194" s="266"/>
      <c r="N194" s="266"/>
    </row>
    <row r="195" spans="1:14" s="6" customFormat="1" ht="26.25">
      <c r="A195" s="265" t="s">
        <v>502</v>
      </c>
      <c r="B195" s="92">
        <v>8300</v>
      </c>
      <c r="C195" s="349">
        <v>8300</v>
      </c>
      <c r="D195" s="349">
        <v>0</v>
      </c>
      <c r="E195" s="71" t="s">
        <v>124</v>
      </c>
      <c r="F195" s="426" t="s">
        <v>428</v>
      </c>
      <c r="G195" s="290"/>
      <c r="H195" s="290"/>
      <c r="I195" s="265"/>
      <c r="J195" s="266"/>
      <c r="K195" s="286"/>
      <c r="L195" s="286"/>
      <c r="M195" s="266"/>
      <c r="N195" s="266"/>
    </row>
    <row r="196" spans="1:14" s="6" customFormat="1" ht="15">
      <c r="A196" s="265" t="s">
        <v>429</v>
      </c>
      <c r="B196" s="92">
        <v>3000</v>
      </c>
      <c r="C196" s="349">
        <v>3000</v>
      </c>
      <c r="D196" s="349">
        <v>0</v>
      </c>
      <c r="E196" s="334" t="s">
        <v>124</v>
      </c>
      <c r="F196" s="59" t="s">
        <v>430</v>
      </c>
      <c r="G196" s="71"/>
      <c r="H196" s="290"/>
      <c r="I196" s="265"/>
      <c r="J196" s="266"/>
      <c r="K196" s="286"/>
      <c r="L196" s="286"/>
      <c r="M196" s="266"/>
      <c r="N196" s="266"/>
    </row>
    <row r="197" spans="1:14" s="6" customFormat="1" ht="38.25">
      <c r="A197" s="265" t="s">
        <v>318</v>
      </c>
      <c r="B197" s="92">
        <v>500</v>
      </c>
      <c r="C197" s="349">
        <v>500</v>
      </c>
      <c r="D197" s="349">
        <v>0</v>
      </c>
      <c r="E197" s="71" t="s">
        <v>317</v>
      </c>
      <c r="F197" s="405" t="s">
        <v>431</v>
      </c>
      <c r="G197" s="71"/>
      <c r="H197" s="290"/>
      <c r="I197" s="265"/>
      <c r="J197" s="266"/>
      <c r="K197" s="286"/>
      <c r="L197" s="286"/>
      <c r="M197" s="266"/>
      <c r="N197" s="266"/>
    </row>
    <row r="198" spans="1:14" s="6" customFormat="1" ht="15">
      <c r="A198" s="86"/>
      <c r="B198" s="86"/>
      <c r="C198" s="365"/>
      <c r="D198" s="365"/>
      <c r="E198" s="86"/>
      <c r="F198" s="427"/>
      <c r="G198" s="290"/>
      <c r="H198" s="290"/>
      <c r="I198" s="291"/>
      <c r="J198" s="266"/>
      <c r="K198" s="286"/>
      <c r="L198" s="286"/>
      <c r="M198" s="266"/>
      <c r="N198" s="266"/>
    </row>
    <row r="199" spans="1:14" s="6" customFormat="1" ht="30">
      <c r="A199" s="21" t="s">
        <v>9</v>
      </c>
      <c r="B199" s="34">
        <f>SUM(B200:B201)</f>
        <v>10000</v>
      </c>
      <c r="C199" s="361">
        <v>10000</v>
      </c>
      <c r="D199" s="361">
        <v>0</v>
      </c>
      <c r="E199" s="19"/>
      <c r="F199" s="419"/>
      <c r="G199" s="290"/>
      <c r="H199" s="290"/>
      <c r="I199" s="291"/>
      <c r="J199" s="266"/>
      <c r="K199" s="286"/>
      <c r="L199" s="286"/>
      <c r="M199" s="266"/>
      <c r="N199" s="266"/>
    </row>
    <row r="200" spans="1:14" s="6" customFormat="1" ht="25.5">
      <c r="A200" s="42" t="s">
        <v>154</v>
      </c>
      <c r="B200" s="50">
        <v>0</v>
      </c>
      <c r="C200" s="353"/>
      <c r="D200" s="353"/>
      <c r="E200" s="46" t="s">
        <v>86</v>
      </c>
      <c r="F200" s="392"/>
      <c r="G200" s="282"/>
      <c r="H200" s="282"/>
      <c r="I200" s="265"/>
      <c r="J200" s="47"/>
      <c r="K200" s="286"/>
      <c r="L200" s="286"/>
      <c r="M200" s="266"/>
      <c r="N200" s="266"/>
    </row>
    <row r="201" spans="1:14" s="6" customFormat="1" ht="236.25" customHeight="1">
      <c r="A201" s="42" t="s">
        <v>348</v>
      </c>
      <c r="B201" s="50">
        <v>10000</v>
      </c>
      <c r="C201" s="353">
        <v>10000</v>
      </c>
      <c r="D201" s="353">
        <v>0</v>
      </c>
      <c r="E201" s="46" t="s">
        <v>155</v>
      </c>
      <c r="F201" s="392" t="s">
        <v>520</v>
      </c>
      <c r="G201" s="282"/>
      <c r="H201" s="282"/>
      <c r="I201" s="265"/>
      <c r="J201" s="47"/>
      <c r="K201" s="286"/>
      <c r="L201" s="286"/>
      <c r="M201" s="266"/>
      <c r="N201" s="266"/>
    </row>
    <row r="202" spans="1:14" s="6" customFormat="1" ht="15">
      <c r="A202" s="73"/>
      <c r="B202" s="67"/>
      <c r="C202" s="351"/>
      <c r="D202" s="351"/>
      <c r="E202" s="66"/>
      <c r="F202" s="394"/>
      <c r="G202" s="282"/>
      <c r="H202" s="282"/>
      <c r="I202" s="265"/>
      <c r="J202" s="266"/>
      <c r="K202" s="286"/>
      <c r="L202" s="286"/>
      <c r="M202" s="266"/>
      <c r="N202" s="266"/>
    </row>
    <row r="203" spans="1:14" s="6" customFormat="1" ht="14.25" customHeight="1">
      <c r="A203" s="21" t="s">
        <v>10</v>
      </c>
      <c r="B203" s="34">
        <f>SUM(B204:B207)</f>
        <v>13000</v>
      </c>
      <c r="C203" s="361">
        <f>SUM(C204:C207)</f>
        <v>12926</v>
      </c>
      <c r="D203" s="361">
        <f>SUM(D204:D207)</f>
        <v>74</v>
      </c>
      <c r="E203" s="19"/>
      <c r="F203" s="419"/>
      <c r="G203" s="282"/>
      <c r="H203" s="282"/>
      <c r="I203" s="265"/>
      <c r="J203" s="266"/>
      <c r="K203" s="286"/>
      <c r="L203" s="286"/>
      <c r="M203" s="266"/>
      <c r="N203" s="266"/>
    </row>
    <row r="204" spans="1:14" s="6" customFormat="1" ht="40.5" customHeight="1">
      <c r="A204" s="42" t="s">
        <v>157</v>
      </c>
      <c r="B204" s="63">
        <v>2000</v>
      </c>
      <c r="C204" s="336">
        <v>1930</v>
      </c>
      <c r="D204" s="336">
        <v>70</v>
      </c>
      <c r="E204" s="43" t="s">
        <v>51</v>
      </c>
      <c r="F204" s="413" t="s">
        <v>521</v>
      </c>
      <c r="G204" s="290"/>
      <c r="H204" s="290"/>
      <c r="I204" s="291"/>
      <c r="J204" s="266"/>
      <c r="K204" s="286"/>
      <c r="L204" s="286"/>
      <c r="M204" s="266"/>
      <c r="N204" s="266"/>
    </row>
    <row r="205" spans="1:14" s="6" customFormat="1" ht="38.25">
      <c r="A205" s="42" t="s">
        <v>158</v>
      </c>
      <c r="B205" s="63">
        <v>4000</v>
      </c>
      <c r="C205" s="336">
        <v>3998</v>
      </c>
      <c r="D205" s="336">
        <v>2</v>
      </c>
      <c r="E205" s="43" t="s">
        <v>156</v>
      </c>
      <c r="F205" s="48" t="s">
        <v>522</v>
      </c>
      <c r="G205" s="290"/>
      <c r="H205" s="290"/>
      <c r="I205" s="291"/>
      <c r="J205" s="266"/>
      <c r="K205" s="286"/>
      <c r="L205" s="286"/>
      <c r="M205" s="266"/>
      <c r="N205" s="266"/>
    </row>
    <row r="206" spans="1:14" s="6" customFormat="1" ht="25.5">
      <c r="A206" s="42" t="s">
        <v>159</v>
      </c>
      <c r="B206" s="63">
        <v>7000</v>
      </c>
      <c r="C206" s="336">
        <v>6998</v>
      </c>
      <c r="D206" s="336">
        <v>2</v>
      </c>
      <c r="E206" s="43" t="s">
        <v>156</v>
      </c>
      <c r="F206" s="48" t="s">
        <v>499</v>
      </c>
      <c r="G206" s="290"/>
      <c r="H206" s="290"/>
      <c r="I206" s="291"/>
      <c r="J206" s="266"/>
      <c r="K206" s="286"/>
      <c r="L206" s="286"/>
      <c r="M206" s="266"/>
      <c r="N206" s="266"/>
    </row>
    <row r="207" spans="1:14" s="6" customFormat="1" ht="15">
      <c r="A207" s="72"/>
      <c r="B207" s="66"/>
      <c r="C207" s="351"/>
      <c r="D207" s="351"/>
      <c r="E207" s="67"/>
      <c r="F207" s="397"/>
      <c r="G207" s="290"/>
      <c r="H207" s="290"/>
      <c r="I207" s="291"/>
      <c r="J207" s="266"/>
      <c r="K207" s="286"/>
      <c r="L207" s="286"/>
      <c r="M207" s="266"/>
      <c r="N207" s="266"/>
    </row>
    <row r="208" spans="1:14" s="6" customFormat="1" ht="15">
      <c r="A208" s="21" t="s">
        <v>29</v>
      </c>
      <c r="B208" s="34">
        <f>SUM(B209:B214)</f>
        <v>8378</v>
      </c>
      <c r="C208" s="361">
        <f>SUM(C209:C214)</f>
        <v>8376.61</v>
      </c>
      <c r="D208" s="361">
        <f>SUM(D209:D213)</f>
        <v>1.39</v>
      </c>
      <c r="E208" s="19"/>
      <c r="F208" s="419"/>
      <c r="G208" s="290"/>
      <c r="H208" s="290"/>
      <c r="I208" s="291"/>
      <c r="J208" s="266"/>
      <c r="K208" s="286"/>
      <c r="L208" s="286"/>
      <c r="M208" s="266"/>
      <c r="N208" s="266"/>
    </row>
    <row r="209" spans="1:14" s="6" customFormat="1" ht="33" customHeight="1">
      <c r="A209" s="45" t="s">
        <v>162</v>
      </c>
      <c r="B209" s="44">
        <v>3000</v>
      </c>
      <c r="C209" s="336">
        <v>2998.96</v>
      </c>
      <c r="D209" s="336">
        <v>1.04</v>
      </c>
      <c r="E209" s="46" t="s">
        <v>107</v>
      </c>
      <c r="F209" s="392" t="s">
        <v>471</v>
      </c>
      <c r="G209" s="290"/>
      <c r="H209" s="290"/>
      <c r="I209" s="291"/>
      <c r="J209" s="266"/>
      <c r="K209" s="286"/>
      <c r="L209" s="286"/>
      <c r="M209" s="266"/>
      <c r="N209" s="266"/>
    </row>
    <row r="210" spans="1:14" s="6" customFormat="1" ht="23.25" customHeight="1">
      <c r="A210" s="60" t="s">
        <v>273</v>
      </c>
      <c r="B210" s="229">
        <f>2878-1392</f>
        <v>1486</v>
      </c>
      <c r="C210" s="349">
        <v>1485.84</v>
      </c>
      <c r="D210" s="349">
        <v>0.16</v>
      </c>
      <c r="E210" s="46" t="s">
        <v>107</v>
      </c>
      <c r="F210" s="392" t="s">
        <v>472</v>
      </c>
      <c r="G210" s="264"/>
      <c r="H210" s="264"/>
      <c r="I210" s="265"/>
      <c r="J210" s="266"/>
      <c r="K210" s="286"/>
      <c r="L210" s="286"/>
      <c r="M210" s="266"/>
      <c r="N210" s="266"/>
    </row>
    <row r="211" spans="1:14" s="6" customFormat="1" ht="46.5" customHeight="1">
      <c r="A211" s="60" t="s">
        <v>279</v>
      </c>
      <c r="B211" s="229">
        <v>1000</v>
      </c>
      <c r="C211" s="349">
        <v>1000</v>
      </c>
      <c r="D211" s="349">
        <v>0</v>
      </c>
      <c r="E211" s="263" t="s">
        <v>278</v>
      </c>
      <c r="F211" s="382" t="s">
        <v>500</v>
      </c>
      <c r="G211" s="320"/>
      <c r="H211" s="320"/>
      <c r="I211" s="265"/>
      <c r="J211" s="266"/>
      <c r="K211" s="286"/>
      <c r="L211" s="286"/>
      <c r="M211" s="266"/>
      <c r="N211" s="266"/>
    </row>
    <row r="212" spans="1:14" s="6" customFormat="1" ht="61.5" customHeight="1">
      <c r="A212" s="60" t="s">
        <v>290</v>
      </c>
      <c r="B212" s="229">
        <f>500+1000</f>
        <v>1500</v>
      </c>
      <c r="C212" s="349">
        <v>1499.82</v>
      </c>
      <c r="D212" s="349">
        <v>0.18</v>
      </c>
      <c r="E212" s="263" t="s">
        <v>278</v>
      </c>
      <c r="F212" s="382" t="s">
        <v>523</v>
      </c>
      <c r="G212" s="321"/>
      <c r="H212" s="321"/>
      <c r="I212" s="265"/>
      <c r="J212" s="266"/>
      <c r="K212" s="286"/>
      <c r="L212" s="286"/>
      <c r="M212" s="266"/>
      <c r="N212" s="266"/>
    </row>
    <row r="213" spans="1:14" s="6" customFormat="1" ht="45.75" customHeight="1">
      <c r="A213" s="60" t="s">
        <v>305</v>
      </c>
      <c r="B213" s="229">
        <v>1392</v>
      </c>
      <c r="C213" s="349">
        <v>1391.99</v>
      </c>
      <c r="D213" s="349">
        <v>0.01</v>
      </c>
      <c r="E213" s="381" t="s">
        <v>278</v>
      </c>
      <c r="F213" s="382" t="s">
        <v>501</v>
      </c>
      <c r="G213" s="322"/>
      <c r="H213" s="322"/>
      <c r="I213" s="291"/>
      <c r="J213" s="266"/>
      <c r="K213" s="286"/>
      <c r="L213" s="286"/>
      <c r="M213" s="266"/>
      <c r="N213" s="266"/>
    </row>
    <row r="214" spans="1:14" s="6" customFormat="1" ht="15">
      <c r="A214" s="60"/>
      <c r="B214" s="271"/>
      <c r="C214" s="366"/>
      <c r="D214" s="366"/>
      <c r="E214" s="272"/>
      <c r="F214" s="428"/>
      <c r="G214" s="290"/>
      <c r="H214" s="290"/>
      <c r="I214" s="291"/>
      <c r="J214" s="266"/>
      <c r="K214" s="286"/>
      <c r="L214" s="286"/>
      <c r="M214" s="266"/>
      <c r="N214" s="266"/>
    </row>
    <row r="215" spans="1:14" s="6" customFormat="1" ht="15">
      <c r="A215" s="21" t="s">
        <v>13</v>
      </c>
      <c r="B215" s="34">
        <f>SUM(B216:B220)</f>
        <v>107435</v>
      </c>
      <c r="C215" s="361">
        <f>SUM(C216:C220)</f>
        <v>107294.65</v>
      </c>
      <c r="D215" s="361">
        <f>SUM(D216:D220)</f>
        <v>140.35</v>
      </c>
      <c r="E215" s="19"/>
      <c r="F215" s="419"/>
      <c r="G215" s="290"/>
      <c r="H215" s="290"/>
      <c r="I215" s="291"/>
      <c r="J215" s="266"/>
      <c r="K215" s="286"/>
      <c r="L215" s="286"/>
      <c r="M215" s="266"/>
      <c r="N215" s="266"/>
    </row>
    <row r="216" spans="1:14" s="57" customFormat="1" ht="66" customHeight="1">
      <c r="A216" s="56" t="s">
        <v>160</v>
      </c>
      <c r="B216" s="44">
        <v>31415</v>
      </c>
      <c r="C216" s="336">
        <v>31320.17</v>
      </c>
      <c r="D216" s="336">
        <v>94.83</v>
      </c>
      <c r="E216" s="46" t="s">
        <v>37</v>
      </c>
      <c r="F216" s="392" t="s">
        <v>434</v>
      </c>
      <c r="G216" s="290"/>
      <c r="H216" s="290"/>
      <c r="I216" s="291"/>
      <c r="J216" s="266"/>
      <c r="K216" s="286"/>
      <c r="L216" s="286"/>
      <c r="M216" s="266"/>
      <c r="N216" s="266"/>
    </row>
    <row r="217" spans="1:14" s="57" customFormat="1" ht="72" customHeight="1">
      <c r="A217" s="56" t="s">
        <v>161</v>
      </c>
      <c r="B217" s="44">
        <f>36000-4143</f>
        <v>31857</v>
      </c>
      <c r="C217" s="336">
        <v>31857</v>
      </c>
      <c r="D217" s="336">
        <v>0</v>
      </c>
      <c r="E217" s="46" t="s">
        <v>46</v>
      </c>
      <c r="F217" s="392" t="s">
        <v>445</v>
      </c>
      <c r="G217" s="282"/>
      <c r="H217" s="282"/>
      <c r="I217" s="291"/>
      <c r="J217" s="266"/>
      <c r="K217" s="286"/>
      <c r="L217" s="286"/>
      <c r="M217" s="266"/>
      <c r="N217" s="266"/>
    </row>
    <row r="218" spans="1:14" s="57" customFormat="1" ht="180.75" customHeight="1">
      <c r="A218" s="429" t="s">
        <v>225</v>
      </c>
      <c r="B218" s="44">
        <v>6700</v>
      </c>
      <c r="C218" s="336">
        <v>6700</v>
      </c>
      <c r="D218" s="336">
        <v>0</v>
      </c>
      <c r="E218" s="43" t="s">
        <v>52</v>
      </c>
      <c r="F218" s="409" t="s">
        <v>497</v>
      </c>
      <c r="G218" s="290"/>
      <c r="H218" s="290"/>
      <c r="I218" s="291"/>
      <c r="J218" s="266"/>
      <c r="K218" s="286"/>
      <c r="L218" s="286"/>
      <c r="M218" s="266"/>
      <c r="N218" s="266"/>
    </row>
    <row r="219" spans="1:14" s="57" customFormat="1" ht="96" customHeight="1">
      <c r="A219" s="429" t="s">
        <v>176</v>
      </c>
      <c r="B219" s="44">
        <f>27220+4143</f>
        <v>31363</v>
      </c>
      <c r="C219" s="336">
        <v>31363</v>
      </c>
      <c r="D219" s="336">
        <v>0</v>
      </c>
      <c r="E219" s="93" t="s">
        <v>46</v>
      </c>
      <c r="F219" s="430" t="s">
        <v>503</v>
      </c>
      <c r="G219" s="282"/>
      <c r="H219" s="282"/>
      <c r="I219" s="291"/>
      <c r="J219" s="266"/>
      <c r="K219" s="286"/>
      <c r="L219" s="286"/>
      <c r="M219" s="266"/>
      <c r="N219" s="266"/>
    </row>
    <row r="220" spans="1:14" s="57" customFormat="1" ht="45" customHeight="1">
      <c r="A220" s="429" t="s">
        <v>177</v>
      </c>
      <c r="B220" s="44">
        <f>14400-8300</f>
        <v>6100</v>
      </c>
      <c r="C220" s="336">
        <v>6054.48</v>
      </c>
      <c r="D220" s="336">
        <v>45.52</v>
      </c>
      <c r="E220" s="335" t="s">
        <v>52</v>
      </c>
      <c r="F220" s="408" t="s">
        <v>498</v>
      </c>
      <c r="G220" s="293"/>
      <c r="H220" s="293"/>
      <c r="I220" s="294"/>
      <c r="J220" s="266"/>
      <c r="K220" s="286"/>
      <c r="L220" s="286"/>
      <c r="M220" s="266"/>
      <c r="N220" s="266"/>
    </row>
    <row r="221" spans="1:14" s="6" customFormat="1" ht="45" customHeight="1">
      <c r="A221" s="414" t="s">
        <v>27</v>
      </c>
      <c r="B221" s="415">
        <f>$B30+$B61+$B70+$B94+$B96+$B120+$B130+$B138+$B143+$B199+$B203+$B208+$B215</f>
        <v>2265052</v>
      </c>
      <c r="C221" s="416">
        <f>$C30+$C61+$C70+$C94+$C96+$C120+$C130+$C138+$C143+$C199+$C203+$C208+$C215</f>
        <v>2260166.87</v>
      </c>
      <c r="D221" s="416">
        <f>$D30+$D61+$D70+$D94+$D96+$D120+$D130+$D138+$D143+$D199+$D203+$D208+$D215</f>
        <v>4885.130000000001</v>
      </c>
      <c r="E221" s="417"/>
      <c r="F221" s="431"/>
      <c r="G221" s="266"/>
      <c r="H221" s="266"/>
      <c r="I221" s="291"/>
      <c r="J221" s="266"/>
      <c r="K221" s="266"/>
      <c r="L221" s="266"/>
      <c r="M221" s="266"/>
      <c r="N221" s="266"/>
    </row>
    <row r="222" spans="6:14" ht="81" customHeight="1">
      <c r="F222" s="390" t="s">
        <v>528</v>
      </c>
      <c r="G222" s="323"/>
      <c r="H222" s="323"/>
      <c r="I222" s="324"/>
      <c r="J222" s="323"/>
      <c r="K222" s="323"/>
      <c r="L222" s="323"/>
      <c r="M222" s="323"/>
      <c r="N222" s="323"/>
    </row>
    <row r="223" spans="7:14" ht="14.25">
      <c r="G223" s="323"/>
      <c r="H223" s="323"/>
      <c r="I223" s="324"/>
      <c r="J223" s="323"/>
      <c r="K223" s="323"/>
      <c r="L223" s="323"/>
      <c r="M223" s="323"/>
      <c r="N223" s="323"/>
    </row>
    <row r="224" spans="7:14" ht="14.25">
      <c r="G224" s="323"/>
      <c r="H224" s="323"/>
      <c r="I224" s="324"/>
      <c r="J224" s="323"/>
      <c r="K224" s="323"/>
      <c r="L224" s="323"/>
      <c r="M224" s="323"/>
      <c r="N224" s="323"/>
    </row>
    <row r="225" spans="7:14" ht="14.25">
      <c r="G225" s="323"/>
      <c r="H225" s="323"/>
      <c r="I225" s="324"/>
      <c r="J225" s="323"/>
      <c r="K225" s="323"/>
      <c r="L225" s="323"/>
      <c r="M225" s="323"/>
      <c r="N225" s="323"/>
    </row>
    <row r="226" spans="7:14" ht="14.25">
      <c r="G226" s="323"/>
      <c r="H226" s="323"/>
      <c r="I226" s="324"/>
      <c r="J226" s="323"/>
      <c r="K226" s="323"/>
      <c r="L226" s="323"/>
      <c r="M226" s="323"/>
      <c r="N226" s="323"/>
    </row>
    <row r="227" spans="7:14" ht="14.25">
      <c r="G227" s="323"/>
      <c r="H227" s="323"/>
      <c r="I227" s="324"/>
      <c r="J227" s="323"/>
      <c r="K227" s="323"/>
      <c r="L227" s="323"/>
      <c r="M227" s="323"/>
      <c r="N227" s="323"/>
    </row>
    <row r="228" spans="7:14" ht="14.25">
      <c r="G228" s="323"/>
      <c r="H228" s="323"/>
      <c r="I228" s="324"/>
      <c r="J228" s="323"/>
      <c r="K228" s="323"/>
      <c r="L228" s="323"/>
      <c r="M228" s="323"/>
      <c r="N228" s="323"/>
    </row>
    <row r="229" spans="7:14" ht="14.25">
      <c r="G229" s="323"/>
      <c r="H229" s="323"/>
      <c r="I229" s="324"/>
      <c r="J229" s="323"/>
      <c r="K229" s="323"/>
      <c r="L229" s="323"/>
      <c r="M229" s="323"/>
      <c r="N229" s="323"/>
    </row>
    <row r="230" spans="7:14" ht="14.25">
      <c r="G230" s="323"/>
      <c r="H230" s="323"/>
      <c r="I230" s="324"/>
      <c r="J230" s="323"/>
      <c r="K230" s="323"/>
      <c r="L230" s="323"/>
      <c r="M230" s="323"/>
      <c r="N230" s="323"/>
    </row>
    <row r="231" spans="7:14" ht="14.25">
      <c r="G231" s="323"/>
      <c r="H231" s="323"/>
      <c r="I231" s="324"/>
      <c r="J231" s="323"/>
      <c r="K231" s="323"/>
      <c r="L231" s="323"/>
      <c r="M231" s="323"/>
      <c r="N231" s="323"/>
    </row>
    <row r="232" spans="7:14" ht="14.25">
      <c r="G232" s="323"/>
      <c r="H232" s="323"/>
      <c r="I232" s="324"/>
      <c r="J232" s="323"/>
      <c r="K232" s="323"/>
      <c r="L232" s="323"/>
      <c r="M232" s="323"/>
      <c r="N232" s="323"/>
    </row>
    <row r="233" spans="7:14" ht="14.25">
      <c r="G233" s="323"/>
      <c r="H233" s="323"/>
      <c r="I233" s="324"/>
      <c r="J233" s="323"/>
      <c r="K233" s="323"/>
      <c r="L233" s="323"/>
      <c r="M233" s="323"/>
      <c r="N233" s="323"/>
    </row>
    <row r="234" spans="7:14" ht="14.25">
      <c r="G234" s="323"/>
      <c r="H234" s="323"/>
      <c r="I234" s="324"/>
      <c r="J234" s="323"/>
      <c r="K234" s="323"/>
      <c r="L234" s="323"/>
      <c r="M234" s="323"/>
      <c r="N234" s="323"/>
    </row>
    <row r="235" spans="7:14" ht="14.25">
      <c r="G235" s="323"/>
      <c r="H235" s="323"/>
      <c r="I235" s="324"/>
      <c r="J235" s="323"/>
      <c r="K235" s="323"/>
      <c r="L235" s="323"/>
      <c r="M235" s="323"/>
      <c r="N235" s="323"/>
    </row>
    <row r="236" spans="7:14" ht="14.25">
      <c r="G236" s="323"/>
      <c r="H236" s="323"/>
      <c r="I236" s="324"/>
      <c r="J236" s="323"/>
      <c r="K236" s="323"/>
      <c r="L236" s="323"/>
      <c r="M236" s="323"/>
      <c r="N236" s="323"/>
    </row>
    <row r="237" spans="7:14" ht="14.25">
      <c r="G237" s="323"/>
      <c r="H237" s="323"/>
      <c r="I237" s="324"/>
      <c r="J237" s="323"/>
      <c r="K237" s="323"/>
      <c r="L237" s="323"/>
      <c r="M237" s="323"/>
      <c r="N237" s="323"/>
    </row>
    <row r="238" spans="7:14" ht="14.25">
      <c r="G238" s="323"/>
      <c r="H238" s="323"/>
      <c r="I238" s="324"/>
      <c r="J238" s="323"/>
      <c r="K238" s="323"/>
      <c r="L238" s="323"/>
      <c r="M238" s="323"/>
      <c r="N238" s="323"/>
    </row>
    <row r="239" spans="7:14" ht="14.25">
      <c r="G239" s="323"/>
      <c r="H239" s="323"/>
      <c r="I239" s="324"/>
      <c r="J239" s="323"/>
      <c r="K239" s="323"/>
      <c r="L239" s="323"/>
      <c r="M239" s="323"/>
      <c r="N239" s="323"/>
    </row>
    <row r="240" spans="7:14" ht="14.25">
      <c r="G240" s="323"/>
      <c r="H240" s="323"/>
      <c r="I240" s="324"/>
      <c r="J240" s="323"/>
      <c r="K240" s="323"/>
      <c r="L240" s="323"/>
      <c r="M240" s="323"/>
      <c r="N240" s="323"/>
    </row>
    <row r="241" spans="7:14" ht="14.25">
      <c r="G241" s="323"/>
      <c r="H241" s="323"/>
      <c r="I241" s="324"/>
      <c r="J241" s="323"/>
      <c r="K241" s="323"/>
      <c r="L241" s="323"/>
      <c r="M241" s="323"/>
      <c r="N241" s="323"/>
    </row>
    <row r="242" spans="7:14" ht="14.25">
      <c r="G242" s="323"/>
      <c r="H242" s="323"/>
      <c r="I242" s="324"/>
      <c r="J242" s="323"/>
      <c r="K242" s="323"/>
      <c r="L242" s="323"/>
      <c r="M242" s="323"/>
      <c r="N242" s="323"/>
    </row>
    <row r="243" spans="7:14" ht="14.25">
      <c r="G243" s="323"/>
      <c r="H243" s="323"/>
      <c r="I243" s="324"/>
      <c r="J243" s="323"/>
      <c r="K243" s="323"/>
      <c r="L243" s="323"/>
      <c r="M243" s="323"/>
      <c r="N243" s="323"/>
    </row>
    <row r="244" spans="7:14" ht="14.25">
      <c r="G244" s="323"/>
      <c r="H244" s="323"/>
      <c r="I244" s="324"/>
      <c r="J244" s="323"/>
      <c r="K244" s="323"/>
      <c r="L244" s="323"/>
      <c r="M244" s="323"/>
      <c r="N244" s="323"/>
    </row>
    <row r="245" spans="7:14" ht="14.25">
      <c r="G245" s="323"/>
      <c r="H245" s="323"/>
      <c r="I245" s="324"/>
      <c r="J245" s="323"/>
      <c r="K245" s="323"/>
      <c r="L245" s="323"/>
      <c r="M245" s="323"/>
      <c r="N245" s="323"/>
    </row>
    <row r="246" spans="7:14" ht="14.25">
      <c r="G246" s="323"/>
      <c r="H246" s="323"/>
      <c r="I246" s="324"/>
      <c r="J246" s="323"/>
      <c r="K246" s="323"/>
      <c r="L246" s="323"/>
      <c r="M246" s="323"/>
      <c r="N246" s="323"/>
    </row>
    <row r="247" spans="7:14" ht="14.25">
      <c r="G247" s="323"/>
      <c r="H247" s="323"/>
      <c r="I247" s="324"/>
      <c r="J247" s="323"/>
      <c r="K247" s="323"/>
      <c r="L247" s="323"/>
      <c r="M247" s="323"/>
      <c r="N247" s="323"/>
    </row>
    <row r="248" spans="7:14" ht="14.25">
      <c r="G248" s="323"/>
      <c r="H248" s="323"/>
      <c r="I248" s="324"/>
      <c r="J248" s="323"/>
      <c r="K248" s="323"/>
      <c r="L248" s="323"/>
      <c r="M248" s="323"/>
      <c r="N248" s="323"/>
    </row>
    <row r="249" spans="7:14" ht="14.25">
      <c r="G249" s="323"/>
      <c r="H249" s="323"/>
      <c r="I249" s="324"/>
      <c r="J249" s="323"/>
      <c r="K249" s="323"/>
      <c r="L249" s="323"/>
      <c r="M249" s="323"/>
      <c r="N249" s="323"/>
    </row>
    <row r="250" spans="7:14" ht="14.25">
      <c r="G250" s="323"/>
      <c r="H250" s="323"/>
      <c r="I250" s="324"/>
      <c r="J250" s="323"/>
      <c r="K250" s="323"/>
      <c r="L250" s="323"/>
      <c r="M250" s="323"/>
      <c r="N250" s="323"/>
    </row>
    <row r="251" spans="7:14" ht="14.25">
      <c r="G251" s="323"/>
      <c r="H251" s="323"/>
      <c r="I251" s="324"/>
      <c r="J251" s="323"/>
      <c r="K251" s="323"/>
      <c r="L251" s="323"/>
      <c r="M251" s="323"/>
      <c r="N251" s="323"/>
    </row>
    <row r="252" spans="7:14" ht="14.25">
      <c r="G252" s="323"/>
      <c r="H252" s="323"/>
      <c r="I252" s="324"/>
      <c r="J252" s="323"/>
      <c r="K252" s="323"/>
      <c r="L252" s="323"/>
      <c r="M252" s="323"/>
      <c r="N252" s="323"/>
    </row>
    <row r="253" spans="7:14" ht="14.25">
      <c r="G253" s="323"/>
      <c r="H253" s="323"/>
      <c r="I253" s="324"/>
      <c r="J253" s="323"/>
      <c r="K253" s="323"/>
      <c r="L253" s="323"/>
      <c r="M253" s="323"/>
      <c r="N253" s="323"/>
    </row>
    <row r="254" spans="7:14" ht="14.25">
      <c r="G254" s="323"/>
      <c r="H254" s="323"/>
      <c r="I254" s="324"/>
      <c r="J254" s="323"/>
      <c r="K254" s="323"/>
      <c r="L254" s="323"/>
      <c r="M254" s="323"/>
      <c r="N254" s="323"/>
    </row>
    <row r="255" spans="7:14" ht="14.25">
      <c r="G255" s="323"/>
      <c r="H255" s="323"/>
      <c r="I255" s="324"/>
      <c r="J255" s="323"/>
      <c r="K255" s="323"/>
      <c r="L255" s="323"/>
      <c r="M255" s="323"/>
      <c r="N255" s="323"/>
    </row>
    <row r="256" spans="7:14" ht="14.25">
      <c r="G256" s="323"/>
      <c r="H256" s="323"/>
      <c r="I256" s="324"/>
      <c r="J256" s="323"/>
      <c r="K256" s="323"/>
      <c r="L256" s="323"/>
      <c r="M256" s="323"/>
      <c r="N256" s="323"/>
    </row>
    <row r="257" spans="7:14" ht="14.25">
      <c r="G257" s="323"/>
      <c r="H257" s="323"/>
      <c r="I257" s="324"/>
      <c r="J257" s="323"/>
      <c r="K257" s="323"/>
      <c r="L257" s="323"/>
      <c r="M257" s="323"/>
      <c r="N257" s="323"/>
    </row>
    <row r="258" spans="7:14" ht="14.25">
      <c r="G258" s="323"/>
      <c r="H258" s="323"/>
      <c r="I258" s="324"/>
      <c r="J258" s="323"/>
      <c r="K258" s="323"/>
      <c r="L258" s="323"/>
      <c r="M258" s="323"/>
      <c r="N258" s="323"/>
    </row>
    <row r="259" spans="7:14" ht="14.25">
      <c r="G259" s="323"/>
      <c r="H259" s="323"/>
      <c r="I259" s="324"/>
      <c r="J259" s="323"/>
      <c r="K259" s="323"/>
      <c r="L259" s="323"/>
      <c r="M259" s="323"/>
      <c r="N259" s="323"/>
    </row>
    <row r="260" spans="7:14" ht="14.25">
      <c r="G260" s="323"/>
      <c r="H260" s="323"/>
      <c r="I260" s="324"/>
      <c r="J260" s="323"/>
      <c r="K260" s="323"/>
      <c r="L260" s="323"/>
      <c r="M260" s="323"/>
      <c r="N260" s="323"/>
    </row>
    <row r="261" spans="7:14" ht="14.25">
      <c r="G261" s="323"/>
      <c r="H261" s="323"/>
      <c r="I261" s="324"/>
      <c r="J261" s="323"/>
      <c r="K261" s="323"/>
      <c r="L261" s="323"/>
      <c r="M261" s="323"/>
      <c r="N261" s="323"/>
    </row>
    <row r="262" spans="7:14" ht="14.25">
      <c r="G262" s="323"/>
      <c r="H262" s="323"/>
      <c r="I262" s="324"/>
      <c r="J262" s="323"/>
      <c r="K262" s="323"/>
      <c r="L262" s="323"/>
      <c r="M262" s="323"/>
      <c r="N262" s="323"/>
    </row>
    <row r="263" spans="7:14" ht="14.25">
      <c r="G263" s="323"/>
      <c r="H263" s="323"/>
      <c r="I263" s="324"/>
      <c r="J263" s="323"/>
      <c r="K263" s="323"/>
      <c r="L263" s="323"/>
      <c r="M263" s="323"/>
      <c r="N263" s="323"/>
    </row>
    <row r="264" spans="7:14" ht="14.25">
      <c r="G264" s="323"/>
      <c r="H264" s="323"/>
      <c r="I264" s="324"/>
      <c r="J264" s="323"/>
      <c r="K264" s="323"/>
      <c r="L264" s="323"/>
      <c r="M264" s="323"/>
      <c r="N264" s="323"/>
    </row>
    <row r="265" spans="7:14" ht="14.25">
      <c r="G265" s="323"/>
      <c r="H265" s="323"/>
      <c r="I265" s="324"/>
      <c r="J265" s="323"/>
      <c r="K265" s="323"/>
      <c r="L265" s="323"/>
      <c r="M265" s="323"/>
      <c r="N265" s="323"/>
    </row>
    <row r="266" spans="7:14" ht="14.25">
      <c r="G266" s="323"/>
      <c r="H266" s="323"/>
      <c r="I266" s="324"/>
      <c r="J266" s="323"/>
      <c r="K266" s="323"/>
      <c r="L266" s="323"/>
      <c r="M266" s="323"/>
      <c r="N266" s="323"/>
    </row>
    <row r="267" spans="7:14" ht="14.25">
      <c r="G267" s="323"/>
      <c r="H267" s="323"/>
      <c r="I267" s="324"/>
      <c r="J267" s="323"/>
      <c r="K267" s="323"/>
      <c r="L267" s="323"/>
      <c r="M267" s="323"/>
      <c r="N267" s="323"/>
    </row>
    <row r="268" spans="7:14" ht="14.25">
      <c r="G268" s="323"/>
      <c r="H268" s="323"/>
      <c r="I268" s="324"/>
      <c r="J268" s="323"/>
      <c r="K268" s="323"/>
      <c r="L268" s="323"/>
      <c r="M268" s="323"/>
      <c r="N268" s="323"/>
    </row>
    <row r="269" spans="7:14" ht="14.25">
      <c r="G269" s="323"/>
      <c r="H269" s="323"/>
      <c r="I269" s="324"/>
      <c r="J269" s="323"/>
      <c r="K269" s="323"/>
      <c r="L269" s="323"/>
      <c r="M269" s="323"/>
      <c r="N269" s="323"/>
    </row>
    <row r="270" spans="7:14" ht="14.25">
      <c r="G270" s="323"/>
      <c r="H270" s="323"/>
      <c r="I270" s="324"/>
      <c r="J270" s="323"/>
      <c r="K270" s="323"/>
      <c r="L270" s="323"/>
      <c r="M270" s="323"/>
      <c r="N270" s="323"/>
    </row>
    <row r="271" spans="7:14" ht="14.25">
      <c r="G271" s="323"/>
      <c r="H271" s="323"/>
      <c r="I271" s="324"/>
      <c r="J271" s="323"/>
      <c r="K271" s="323"/>
      <c r="L271" s="323"/>
      <c r="M271" s="323"/>
      <c r="N271" s="323"/>
    </row>
    <row r="272" spans="7:14" ht="14.25">
      <c r="G272" s="323"/>
      <c r="H272" s="323"/>
      <c r="I272" s="324"/>
      <c r="J272" s="323"/>
      <c r="K272" s="323"/>
      <c r="L272" s="323"/>
      <c r="M272" s="323"/>
      <c r="N272" s="323"/>
    </row>
    <row r="273" spans="7:14" ht="14.25">
      <c r="G273" s="323"/>
      <c r="H273" s="323"/>
      <c r="I273" s="324"/>
      <c r="J273" s="323"/>
      <c r="K273" s="323"/>
      <c r="L273" s="323"/>
      <c r="M273" s="323"/>
      <c r="N273" s="323"/>
    </row>
    <row r="274" spans="7:14" ht="14.25">
      <c r="G274" s="323"/>
      <c r="H274" s="323"/>
      <c r="I274" s="324"/>
      <c r="J274" s="323"/>
      <c r="K274" s="323"/>
      <c r="L274" s="323"/>
      <c r="M274" s="323"/>
      <c r="N274" s="323"/>
    </row>
    <row r="275" spans="7:14" ht="14.25">
      <c r="G275" s="323"/>
      <c r="H275" s="323"/>
      <c r="I275" s="324"/>
      <c r="J275" s="323"/>
      <c r="K275" s="323"/>
      <c r="L275" s="323"/>
      <c r="M275" s="323"/>
      <c r="N275" s="323"/>
    </row>
    <row r="276" spans="7:14" ht="14.25">
      <c r="G276" s="323"/>
      <c r="H276" s="323"/>
      <c r="I276" s="324"/>
      <c r="J276" s="323"/>
      <c r="K276" s="323"/>
      <c r="L276" s="323"/>
      <c r="M276" s="323"/>
      <c r="N276" s="323"/>
    </row>
    <row r="277" spans="7:14" ht="14.25">
      <c r="G277" s="323"/>
      <c r="H277" s="323"/>
      <c r="I277" s="324"/>
      <c r="J277" s="323"/>
      <c r="K277" s="323"/>
      <c r="L277" s="323"/>
      <c r="M277" s="323"/>
      <c r="N277" s="323"/>
    </row>
    <row r="278" spans="7:14" ht="14.25">
      <c r="G278" s="323"/>
      <c r="H278" s="323"/>
      <c r="I278" s="324"/>
      <c r="J278" s="323"/>
      <c r="K278" s="323"/>
      <c r="L278" s="323"/>
      <c r="M278" s="323"/>
      <c r="N278" s="323"/>
    </row>
    <row r="279" spans="7:14" ht="14.25">
      <c r="G279" s="323"/>
      <c r="H279" s="323"/>
      <c r="I279" s="324"/>
      <c r="J279" s="323"/>
      <c r="K279" s="323"/>
      <c r="L279" s="323"/>
      <c r="M279" s="323"/>
      <c r="N279" s="323"/>
    </row>
    <row r="280" spans="7:14" ht="14.25">
      <c r="G280" s="323"/>
      <c r="H280" s="323"/>
      <c r="I280" s="324"/>
      <c r="J280" s="323"/>
      <c r="K280" s="323"/>
      <c r="L280" s="323"/>
      <c r="M280" s="323"/>
      <c r="N280" s="323"/>
    </row>
    <row r="281" spans="7:14" ht="14.25">
      <c r="G281" s="323"/>
      <c r="H281" s="323"/>
      <c r="I281" s="324"/>
      <c r="J281" s="323"/>
      <c r="K281" s="323"/>
      <c r="L281" s="323"/>
      <c r="M281" s="323"/>
      <c r="N281" s="323"/>
    </row>
    <row r="282" spans="7:14" ht="14.25">
      <c r="G282" s="323"/>
      <c r="H282" s="323"/>
      <c r="I282" s="324"/>
      <c r="J282" s="323"/>
      <c r="K282" s="323"/>
      <c r="L282" s="323"/>
      <c r="M282" s="323"/>
      <c r="N282" s="323"/>
    </row>
    <row r="283" spans="7:14" ht="14.25">
      <c r="G283" s="323"/>
      <c r="H283" s="323"/>
      <c r="I283" s="324"/>
      <c r="J283" s="323"/>
      <c r="K283" s="323"/>
      <c r="L283" s="323"/>
      <c r="M283" s="323"/>
      <c r="N283" s="323"/>
    </row>
    <row r="284" spans="7:14" ht="14.25">
      <c r="G284" s="323"/>
      <c r="H284" s="323"/>
      <c r="I284" s="324"/>
      <c r="J284" s="323"/>
      <c r="K284" s="323"/>
      <c r="L284" s="323"/>
      <c r="M284" s="323"/>
      <c r="N284" s="323"/>
    </row>
    <row r="285" spans="7:14" ht="14.25">
      <c r="G285" s="323"/>
      <c r="H285" s="323"/>
      <c r="I285" s="324"/>
      <c r="J285" s="323"/>
      <c r="K285" s="323"/>
      <c r="L285" s="323"/>
      <c r="M285" s="323"/>
      <c r="N285" s="323"/>
    </row>
    <row r="286" spans="7:14" ht="14.25">
      <c r="G286" s="323"/>
      <c r="H286" s="323"/>
      <c r="I286" s="324"/>
      <c r="J286" s="323"/>
      <c r="K286" s="323"/>
      <c r="L286" s="323"/>
      <c r="M286" s="323"/>
      <c r="N286" s="323"/>
    </row>
    <row r="287" spans="7:14" ht="14.25">
      <c r="G287" s="323"/>
      <c r="H287" s="323"/>
      <c r="I287" s="324"/>
      <c r="J287" s="323"/>
      <c r="K287" s="323"/>
      <c r="L287" s="323"/>
      <c r="M287" s="323"/>
      <c r="N287" s="323"/>
    </row>
    <row r="288" spans="7:14" ht="14.25">
      <c r="G288" s="323"/>
      <c r="H288" s="323"/>
      <c r="I288" s="324"/>
      <c r="J288" s="323"/>
      <c r="K288" s="323"/>
      <c r="L288" s="323"/>
      <c r="M288" s="323"/>
      <c r="N288" s="323"/>
    </row>
    <row r="289" spans="7:14" ht="14.25">
      <c r="G289" s="323"/>
      <c r="H289" s="323"/>
      <c r="I289" s="324"/>
      <c r="J289" s="323"/>
      <c r="K289" s="323"/>
      <c r="L289" s="323"/>
      <c r="M289" s="323"/>
      <c r="N289" s="323"/>
    </row>
    <row r="290" spans="7:14" ht="14.25">
      <c r="G290" s="323"/>
      <c r="H290" s="323"/>
      <c r="I290" s="324"/>
      <c r="J290" s="323"/>
      <c r="K290" s="323"/>
      <c r="L290" s="323"/>
      <c r="M290" s="323"/>
      <c r="N290" s="323"/>
    </row>
    <row r="291" spans="7:14" ht="14.25">
      <c r="G291" s="323"/>
      <c r="H291" s="323"/>
      <c r="I291" s="324"/>
      <c r="J291" s="323"/>
      <c r="K291" s="323"/>
      <c r="L291" s="323"/>
      <c r="M291" s="323"/>
      <c r="N291" s="323"/>
    </row>
    <row r="292" spans="7:14" ht="14.25">
      <c r="G292" s="323"/>
      <c r="H292" s="323"/>
      <c r="I292" s="324"/>
      <c r="J292" s="323"/>
      <c r="K292" s="323"/>
      <c r="L292" s="323"/>
      <c r="M292" s="323"/>
      <c r="N292" s="323"/>
    </row>
    <row r="293" spans="7:14" ht="14.25">
      <c r="G293" s="323"/>
      <c r="H293" s="323"/>
      <c r="I293" s="324"/>
      <c r="J293" s="323"/>
      <c r="K293" s="323"/>
      <c r="L293" s="323"/>
      <c r="M293" s="323"/>
      <c r="N293" s="323"/>
    </row>
    <row r="294" spans="7:14" ht="14.25">
      <c r="G294" s="323"/>
      <c r="H294" s="323"/>
      <c r="I294" s="324"/>
      <c r="J294" s="323"/>
      <c r="K294" s="323"/>
      <c r="L294" s="323"/>
      <c r="M294" s="323"/>
      <c r="N294" s="323"/>
    </row>
    <row r="295" spans="7:14" ht="14.25">
      <c r="G295" s="323"/>
      <c r="H295" s="323"/>
      <c r="I295" s="324"/>
      <c r="J295" s="323"/>
      <c r="K295" s="323"/>
      <c r="L295" s="323"/>
      <c r="M295" s="323"/>
      <c r="N295" s="323"/>
    </row>
    <row r="296" spans="7:14" ht="14.25">
      <c r="G296" s="323"/>
      <c r="H296" s="323"/>
      <c r="I296" s="324"/>
      <c r="J296" s="323"/>
      <c r="K296" s="323"/>
      <c r="L296" s="323"/>
      <c r="M296" s="323"/>
      <c r="N296" s="323"/>
    </row>
    <row r="297" spans="7:14" ht="14.25">
      <c r="G297" s="323"/>
      <c r="H297" s="323"/>
      <c r="I297" s="324"/>
      <c r="J297" s="323"/>
      <c r="K297" s="323"/>
      <c r="L297" s="323"/>
      <c r="M297" s="323"/>
      <c r="N297" s="323"/>
    </row>
    <row r="298" spans="7:14" ht="14.25">
      <c r="G298" s="323"/>
      <c r="H298" s="323"/>
      <c r="I298" s="324"/>
      <c r="J298" s="323"/>
      <c r="K298" s="323"/>
      <c r="L298" s="323"/>
      <c r="M298" s="323"/>
      <c r="N298" s="323"/>
    </row>
    <row r="299" spans="7:14" ht="14.25">
      <c r="G299" s="323"/>
      <c r="H299" s="323"/>
      <c r="I299" s="324"/>
      <c r="J299" s="323"/>
      <c r="K299" s="323"/>
      <c r="L299" s="323"/>
      <c r="M299" s="323"/>
      <c r="N299" s="323"/>
    </row>
    <row r="300" spans="7:14" ht="14.25">
      <c r="G300" s="323"/>
      <c r="H300" s="323"/>
      <c r="I300" s="324"/>
      <c r="J300" s="323"/>
      <c r="K300" s="323"/>
      <c r="L300" s="323"/>
      <c r="M300" s="323"/>
      <c r="N300" s="323"/>
    </row>
    <row r="301" spans="7:14" ht="14.25">
      <c r="G301" s="323"/>
      <c r="H301" s="323"/>
      <c r="I301" s="324"/>
      <c r="J301" s="323"/>
      <c r="K301" s="323"/>
      <c r="L301" s="323"/>
      <c r="M301" s="323"/>
      <c r="N301" s="323"/>
    </row>
    <row r="302" spans="7:14" ht="14.25">
      <c r="G302" s="323"/>
      <c r="H302" s="323"/>
      <c r="I302" s="324"/>
      <c r="J302" s="323"/>
      <c r="K302" s="323"/>
      <c r="L302" s="323"/>
      <c r="M302" s="323"/>
      <c r="N302" s="323"/>
    </row>
    <row r="303" spans="7:14" ht="14.25">
      <c r="G303" s="323"/>
      <c r="H303" s="323"/>
      <c r="I303" s="324"/>
      <c r="J303" s="323"/>
      <c r="K303" s="323"/>
      <c r="L303" s="323"/>
      <c r="M303" s="323"/>
      <c r="N303" s="323"/>
    </row>
    <row r="304" spans="7:14" ht="14.25">
      <c r="G304" s="323"/>
      <c r="H304" s="323"/>
      <c r="I304" s="324"/>
      <c r="J304" s="323"/>
      <c r="K304" s="323"/>
      <c r="L304" s="323"/>
      <c r="M304" s="323"/>
      <c r="N304" s="323"/>
    </row>
    <row r="305" spans="7:14" ht="14.25">
      <c r="G305" s="323"/>
      <c r="H305" s="323"/>
      <c r="I305" s="324"/>
      <c r="J305" s="323"/>
      <c r="K305" s="323"/>
      <c r="L305" s="323"/>
      <c r="M305" s="323"/>
      <c r="N305" s="323"/>
    </row>
    <row r="306" spans="7:14" ht="14.25">
      <c r="G306" s="323"/>
      <c r="H306" s="323"/>
      <c r="I306" s="324"/>
      <c r="J306" s="323"/>
      <c r="K306" s="323"/>
      <c r="L306" s="323"/>
      <c r="M306" s="323"/>
      <c r="N306" s="323"/>
    </row>
    <row r="307" spans="7:14" ht="14.25">
      <c r="G307" s="323"/>
      <c r="H307" s="323"/>
      <c r="I307" s="324"/>
      <c r="J307" s="323"/>
      <c r="K307" s="323"/>
      <c r="L307" s="323"/>
      <c r="M307" s="323"/>
      <c r="N307" s="323"/>
    </row>
    <row r="308" spans="7:14" ht="14.25">
      <c r="G308" s="323"/>
      <c r="H308" s="323"/>
      <c r="I308" s="324"/>
      <c r="J308" s="323"/>
      <c r="K308" s="323"/>
      <c r="L308" s="323"/>
      <c r="M308" s="323"/>
      <c r="N308" s="323"/>
    </row>
    <row r="309" spans="7:14" ht="14.25">
      <c r="G309" s="323"/>
      <c r="H309" s="323"/>
      <c r="I309" s="324"/>
      <c r="J309" s="323"/>
      <c r="K309" s="323"/>
      <c r="L309" s="323"/>
      <c r="M309" s="323"/>
      <c r="N309" s="323"/>
    </row>
    <row r="310" spans="7:14" ht="14.25">
      <c r="G310" s="323"/>
      <c r="H310" s="323"/>
      <c r="I310" s="324"/>
      <c r="J310" s="323"/>
      <c r="K310" s="323"/>
      <c r="L310" s="323"/>
      <c r="M310" s="323"/>
      <c r="N310" s="323"/>
    </row>
    <row r="311" spans="7:14" ht="14.25">
      <c r="G311" s="323"/>
      <c r="H311" s="323"/>
      <c r="I311" s="324"/>
      <c r="J311" s="323"/>
      <c r="K311" s="323"/>
      <c r="L311" s="323"/>
      <c r="M311" s="323"/>
      <c r="N311" s="323"/>
    </row>
    <row r="312" spans="7:14" ht="14.25">
      <c r="G312" s="323"/>
      <c r="H312" s="323"/>
      <c r="I312" s="324"/>
      <c r="J312" s="323"/>
      <c r="K312" s="323"/>
      <c r="L312" s="323"/>
      <c r="M312" s="323"/>
      <c r="N312" s="323"/>
    </row>
    <row r="313" spans="7:14" ht="14.25">
      <c r="G313" s="323"/>
      <c r="H313" s="323"/>
      <c r="I313" s="324"/>
      <c r="J313" s="323"/>
      <c r="K313" s="323"/>
      <c r="L313" s="323"/>
      <c r="M313" s="323"/>
      <c r="N313" s="323"/>
    </row>
    <row r="314" spans="7:14" ht="14.25">
      <c r="G314" s="323"/>
      <c r="H314" s="323"/>
      <c r="I314" s="324"/>
      <c r="J314" s="323"/>
      <c r="K314" s="323"/>
      <c r="L314" s="323"/>
      <c r="M314" s="323"/>
      <c r="N314" s="323"/>
    </row>
    <row r="315" spans="7:14" ht="14.25">
      <c r="G315" s="323"/>
      <c r="H315" s="323"/>
      <c r="I315" s="324"/>
      <c r="J315" s="323"/>
      <c r="K315" s="323"/>
      <c r="L315" s="323"/>
      <c r="M315" s="323"/>
      <c r="N315" s="323"/>
    </row>
    <row r="316" spans="7:14" ht="14.25">
      <c r="G316" s="323"/>
      <c r="H316" s="323"/>
      <c r="I316" s="324"/>
      <c r="J316" s="323"/>
      <c r="K316" s="323"/>
      <c r="L316" s="323"/>
      <c r="M316" s="323"/>
      <c r="N316" s="323"/>
    </row>
    <row r="317" spans="7:14" ht="14.25">
      <c r="G317" s="323"/>
      <c r="H317" s="323"/>
      <c r="I317" s="324"/>
      <c r="J317" s="323"/>
      <c r="K317" s="323"/>
      <c r="L317" s="323"/>
      <c r="M317" s="323"/>
      <c r="N317" s="323"/>
    </row>
    <row r="318" spans="7:14" ht="14.25">
      <c r="G318" s="323"/>
      <c r="H318" s="323"/>
      <c r="I318" s="324"/>
      <c r="J318" s="323"/>
      <c r="K318" s="323"/>
      <c r="L318" s="323"/>
      <c r="M318" s="323"/>
      <c r="N318" s="323"/>
    </row>
    <row r="319" spans="7:14" ht="14.25">
      <c r="G319" s="323"/>
      <c r="H319" s="323"/>
      <c r="I319" s="324"/>
      <c r="J319" s="323"/>
      <c r="K319" s="323"/>
      <c r="L319" s="323"/>
      <c r="M319" s="323"/>
      <c r="N319" s="323"/>
    </row>
    <row r="320" spans="7:14" ht="14.25">
      <c r="G320" s="323"/>
      <c r="H320" s="323"/>
      <c r="I320" s="324"/>
      <c r="J320" s="323"/>
      <c r="K320" s="323"/>
      <c r="L320" s="323"/>
      <c r="M320" s="323"/>
      <c r="N320" s="323"/>
    </row>
    <row r="321" spans="7:14" ht="14.25">
      <c r="G321" s="323"/>
      <c r="H321" s="323"/>
      <c r="I321" s="324"/>
      <c r="J321" s="323"/>
      <c r="K321" s="323"/>
      <c r="L321" s="323"/>
      <c r="M321" s="323"/>
      <c r="N321" s="323"/>
    </row>
    <row r="322" spans="7:14" ht="14.25">
      <c r="G322" s="323"/>
      <c r="H322" s="323"/>
      <c r="I322" s="324"/>
      <c r="J322" s="323"/>
      <c r="K322" s="323"/>
      <c r="L322" s="323"/>
      <c r="M322" s="323"/>
      <c r="N322" s="323"/>
    </row>
    <row r="323" spans="7:14" ht="14.25">
      <c r="G323" s="323"/>
      <c r="H323" s="323"/>
      <c r="I323" s="324"/>
      <c r="J323" s="323"/>
      <c r="K323" s="323"/>
      <c r="L323" s="323"/>
      <c r="M323" s="323"/>
      <c r="N323" s="323"/>
    </row>
    <row r="324" spans="7:14" ht="14.25">
      <c r="G324" s="323"/>
      <c r="H324" s="323"/>
      <c r="I324" s="324"/>
      <c r="J324" s="323"/>
      <c r="K324" s="323"/>
      <c r="L324" s="323"/>
      <c r="M324" s="323"/>
      <c r="N324" s="323"/>
    </row>
    <row r="325" spans="7:14" ht="14.25">
      <c r="G325" s="323"/>
      <c r="H325" s="323"/>
      <c r="I325" s="324"/>
      <c r="J325" s="323"/>
      <c r="K325" s="323"/>
      <c r="L325" s="323"/>
      <c r="M325" s="323"/>
      <c r="N325" s="323"/>
    </row>
    <row r="326" spans="7:14" ht="14.25">
      <c r="G326" s="323"/>
      <c r="H326" s="323"/>
      <c r="I326" s="324"/>
      <c r="J326" s="323"/>
      <c r="K326" s="323"/>
      <c r="L326" s="323"/>
      <c r="M326" s="323"/>
      <c r="N326" s="323"/>
    </row>
    <row r="327" spans="7:14" ht="14.25">
      <c r="G327" s="323"/>
      <c r="H327" s="323"/>
      <c r="I327" s="324"/>
      <c r="J327" s="323"/>
      <c r="K327" s="323"/>
      <c r="L327" s="323"/>
      <c r="M327" s="323"/>
      <c r="N327" s="323"/>
    </row>
    <row r="328" spans="7:14" ht="14.25">
      <c r="G328" s="323"/>
      <c r="H328" s="323"/>
      <c r="I328" s="324"/>
      <c r="J328" s="323"/>
      <c r="K328" s="323"/>
      <c r="L328" s="323"/>
      <c r="M328" s="323"/>
      <c r="N328" s="323"/>
    </row>
    <row r="329" spans="7:14" ht="14.25">
      <c r="G329" s="323"/>
      <c r="H329" s="323"/>
      <c r="I329" s="324"/>
      <c r="J329" s="323"/>
      <c r="K329" s="323"/>
      <c r="L329" s="323"/>
      <c r="M329" s="323"/>
      <c r="N329" s="323"/>
    </row>
    <row r="330" spans="7:14" ht="14.25">
      <c r="G330" s="323"/>
      <c r="H330" s="323"/>
      <c r="I330" s="324"/>
      <c r="J330" s="323"/>
      <c r="K330" s="323"/>
      <c r="L330" s="323"/>
      <c r="M330" s="323"/>
      <c r="N330" s="323"/>
    </row>
    <row r="331" spans="7:14" ht="14.25">
      <c r="G331" s="323"/>
      <c r="H331" s="323"/>
      <c r="I331" s="324"/>
      <c r="J331" s="323"/>
      <c r="K331" s="323"/>
      <c r="L331" s="323"/>
      <c r="M331" s="323"/>
      <c r="N331" s="323"/>
    </row>
    <row r="332" spans="7:14" ht="14.25">
      <c r="G332" s="323"/>
      <c r="H332" s="323"/>
      <c r="I332" s="324"/>
      <c r="J332" s="323"/>
      <c r="K332" s="323"/>
      <c r="L332" s="323"/>
      <c r="M332" s="323"/>
      <c r="N332" s="323"/>
    </row>
    <row r="333" spans="7:14" ht="14.25">
      <c r="G333" s="323"/>
      <c r="H333" s="323"/>
      <c r="I333" s="324"/>
      <c r="J333" s="323"/>
      <c r="K333" s="323"/>
      <c r="L333" s="323"/>
      <c r="M333" s="323"/>
      <c r="N333" s="323"/>
    </row>
    <row r="334" spans="7:14" ht="14.25">
      <c r="G334" s="323"/>
      <c r="H334" s="323"/>
      <c r="I334" s="324"/>
      <c r="J334" s="323"/>
      <c r="K334" s="323"/>
      <c r="L334" s="323"/>
      <c r="M334" s="323"/>
      <c r="N334" s="323"/>
    </row>
    <row r="335" spans="7:14" ht="14.25">
      <c r="G335" s="323"/>
      <c r="H335" s="323"/>
      <c r="I335" s="324"/>
      <c r="J335" s="323"/>
      <c r="K335" s="323"/>
      <c r="L335" s="323"/>
      <c r="M335" s="323"/>
      <c r="N335" s="323"/>
    </row>
    <row r="336" spans="7:14" ht="14.25">
      <c r="G336" s="323"/>
      <c r="H336" s="323"/>
      <c r="I336" s="324"/>
      <c r="J336" s="323"/>
      <c r="K336" s="323"/>
      <c r="L336" s="323"/>
      <c r="M336" s="323"/>
      <c r="N336" s="323"/>
    </row>
    <row r="337" spans="7:14" ht="14.25">
      <c r="G337" s="323"/>
      <c r="H337" s="323"/>
      <c r="I337" s="324"/>
      <c r="J337" s="323"/>
      <c r="K337" s="323"/>
      <c r="L337" s="323"/>
      <c r="M337" s="323"/>
      <c r="N337" s="323"/>
    </row>
    <row r="338" spans="7:14" ht="14.25">
      <c r="G338" s="323"/>
      <c r="H338" s="323"/>
      <c r="I338" s="324"/>
      <c r="J338" s="323"/>
      <c r="K338" s="323"/>
      <c r="L338" s="323"/>
      <c r="M338" s="323"/>
      <c r="N338" s="323"/>
    </row>
    <row r="339" spans="7:14" ht="14.25">
      <c r="G339" s="323"/>
      <c r="H339" s="323"/>
      <c r="I339" s="324"/>
      <c r="J339" s="323"/>
      <c r="K339" s="323"/>
      <c r="L339" s="323"/>
      <c r="M339" s="323"/>
      <c r="N339" s="323"/>
    </row>
    <row r="340" spans="7:14" ht="14.25">
      <c r="G340" s="323"/>
      <c r="H340" s="323"/>
      <c r="I340" s="324"/>
      <c r="J340" s="323"/>
      <c r="K340" s="323"/>
      <c r="L340" s="323"/>
      <c r="M340" s="323"/>
      <c r="N340" s="323"/>
    </row>
    <row r="341" spans="7:14" ht="14.25">
      <c r="G341" s="323"/>
      <c r="H341" s="323"/>
      <c r="I341" s="324"/>
      <c r="J341" s="323"/>
      <c r="K341" s="323"/>
      <c r="L341" s="323"/>
      <c r="M341" s="323"/>
      <c r="N341" s="323"/>
    </row>
    <row r="342" spans="7:14" ht="14.25">
      <c r="G342" s="323"/>
      <c r="H342" s="323"/>
      <c r="I342" s="324"/>
      <c r="J342" s="323"/>
      <c r="K342" s="323"/>
      <c r="L342" s="323"/>
      <c r="M342" s="323"/>
      <c r="N342" s="323"/>
    </row>
    <row r="343" spans="7:14" ht="14.25">
      <c r="G343" s="323"/>
      <c r="H343" s="323"/>
      <c r="I343" s="324"/>
      <c r="J343" s="323"/>
      <c r="K343" s="323"/>
      <c r="L343" s="323"/>
      <c r="M343" s="323"/>
      <c r="N343" s="323"/>
    </row>
    <row r="344" spans="7:14" ht="14.25">
      <c r="G344" s="323"/>
      <c r="H344" s="323"/>
      <c r="I344" s="324"/>
      <c r="J344" s="323"/>
      <c r="K344" s="323"/>
      <c r="L344" s="323"/>
      <c r="M344" s="323"/>
      <c r="N344" s="323"/>
    </row>
    <row r="345" spans="7:14" ht="14.25">
      <c r="G345" s="323"/>
      <c r="H345" s="323"/>
      <c r="I345" s="324"/>
      <c r="J345" s="323"/>
      <c r="K345" s="323"/>
      <c r="L345" s="323"/>
      <c r="M345" s="323"/>
      <c r="N345" s="323"/>
    </row>
    <row r="346" spans="7:14" ht="14.25">
      <c r="G346" s="323"/>
      <c r="H346" s="323"/>
      <c r="I346" s="324"/>
      <c r="J346" s="323"/>
      <c r="K346" s="323"/>
      <c r="L346" s="323"/>
      <c r="M346" s="323"/>
      <c r="N346" s="323"/>
    </row>
    <row r="347" spans="7:14" ht="14.25">
      <c r="G347" s="323"/>
      <c r="H347" s="323"/>
      <c r="I347" s="324"/>
      <c r="J347" s="323"/>
      <c r="K347" s="323"/>
      <c r="L347" s="323"/>
      <c r="M347" s="323"/>
      <c r="N347" s="323"/>
    </row>
    <row r="348" spans="7:14" ht="14.25">
      <c r="G348" s="323"/>
      <c r="H348" s="323"/>
      <c r="I348" s="324"/>
      <c r="J348" s="323"/>
      <c r="K348" s="323"/>
      <c r="L348" s="323"/>
      <c r="M348" s="323"/>
      <c r="N348" s="323"/>
    </row>
    <row r="349" spans="7:14" ht="14.25">
      <c r="G349" s="323"/>
      <c r="H349" s="323"/>
      <c r="I349" s="324"/>
      <c r="J349" s="323"/>
      <c r="K349" s="323"/>
      <c r="L349" s="323"/>
      <c r="M349" s="323"/>
      <c r="N349" s="323"/>
    </row>
    <row r="350" spans="7:14" ht="14.25">
      <c r="G350" s="323"/>
      <c r="H350" s="323"/>
      <c r="I350" s="324"/>
      <c r="J350" s="323"/>
      <c r="K350" s="323"/>
      <c r="L350" s="323"/>
      <c r="M350" s="323"/>
      <c r="N350" s="323"/>
    </row>
    <row r="351" spans="7:14" ht="14.25">
      <c r="G351" s="323"/>
      <c r="H351" s="323"/>
      <c r="I351" s="324"/>
      <c r="J351" s="323"/>
      <c r="K351" s="323"/>
      <c r="L351" s="323"/>
      <c r="M351" s="323"/>
      <c r="N351" s="323"/>
    </row>
    <row r="352" spans="7:14" ht="14.25">
      <c r="G352" s="323"/>
      <c r="H352" s="323"/>
      <c r="I352" s="324"/>
      <c r="J352" s="323"/>
      <c r="K352" s="323"/>
      <c r="L352" s="323"/>
      <c r="M352" s="323"/>
      <c r="N352" s="323"/>
    </row>
    <row r="353" spans="7:14" ht="14.25">
      <c r="G353" s="323"/>
      <c r="H353" s="323"/>
      <c r="I353" s="324"/>
      <c r="J353" s="323"/>
      <c r="K353" s="323"/>
      <c r="L353" s="323"/>
      <c r="M353" s="323"/>
      <c r="N353" s="323"/>
    </row>
    <row r="354" spans="7:14" ht="14.25">
      <c r="G354" s="323"/>
      <c r="H354" s="323"/>
      <c r="I354" s="324"/>
      <c r="J354" s="323"/>
      <c r="K354" s="323"/>
      <c r="L354" s="323"/>
      <c r="M354" s="323"/>
      <c r="N354" s="323"/>
    </row>
    <row r="355" spans="7:14" ht="14.25">
      <c r="G355" s="323"/>
      <c r="H355" s="323"/>
      <c r="I355" s="324"/>
      <c r="J355" s="323"/>
      <c r="K355" s="323"/>
      <c r="L355" s="323"/>
      <c r="M355" s="323"/>
      <c r="N355" s="323"/>
    </row>
    <row r="356" spans="7:14" ht="14.25">
      <c r="G356" s="323"/>
      <c r="H356" s="323"/>
      <c r="I356" s="324"/>
      <c r="J356" s="323"/>
      <c r="K356" s="323"/>
      <c r="L356" s="323"/>
      <c r="M356" s="323"/>
      <c r="N356" s="323"/>
    </row>
    <row r="357" spans="7:14" ht="14.25">
      <c r="G357" s="323"/>
      <c r="H357" s="323"/>
      <c r="I357" s="324"/>
      <c r="J357" s="323"/>
      <c r="K357" s="323"/>
      <c r="L357" s="323"/>
      <c r="M357" s="323"/>
      <c r="N357" s="323"/>
    </row>
    <row r="358" spans="7:14" ht="14.25">
      <c r="G358" s="323"/>
      <c r="H358" s="323"/>
      <c r="I358" s="324"/>
      <c r="J358" s="323"/>
      <c r="K358" s="323"/>
      <c r="L358" s="323"/>
      <c r="M358" s="323"/>
      <c r="N358" s="323"/>
    </row>
    <row r="359" spans="7:14" ht="14.25">
      <c r="G359" s="323"/>
      <c r="H359" s="323"/>
      <c r="I359" s="324"/>
      <c r="J359" s="323"/>
      <c r="K359" s="323"/>
      <c r="L359" s="323"/>
      <c r="M359" s="323"/>
      <c r="N359" s="323"/>
    </row>
    <row r="360" spans="7:14" ht="14.25">
      <c r="G360" s="323"/>
      <c r="H360" s="323"/>
      <c r="I360" s="324"/>
      <c r="J360" s="323"/>
      <c r="K360" s="323"/>
      <c r="L360" s="323"/>
      <c r="M360" s="323"/>
      <c r="N360" s="323"/>
    </row>
    <row r="361" spans="7:14" ht="14.25">
      <c r="G361" s="323"/>
      <c r="H361" s="323"/>
      <c r="I361" s="324"/>
      <c r="J361" s="323"/>
      <c r="K361" s="323"/>
      <c r="L361" s="323"/>
      <c r="M361" s="323"/>
      <c r="N361" s="323"/>
    </row>
    <row r="362" spans="7:14" ht="14.25">
      <c r="G362" s="323"/>
      <c r="H362" s="323"/>
      <c r="I362" s="324"/>
      <c r="J362" s="323"/>
      <c r="K362" s="323"/>
      <c r="L362" s="323"/>
      <c r="M362" s="323"/>
      <c r="N362" s="323"/>
    </row>
    <row r="363" spans="7:14" ht="14.25">
      <c r="G363" s="323"/>
      <c r="H363" s="323"/>
      <c r="I363" s="324"/>
      <c r="J363" s="323"/>
      <c r="K363" s="323"/>
      <c r="L363" s="323"/>
      <c r="M363" s="323"/>
      <c r="N363" s="323"/>
    </row>
    <row r="364" spans="7:14" ht="14.25">
      <c r="G364" s="323"/>
      <c r="H364" s="323"/>
      <c r="I364" s="324"/>
      <c r="J364" s="323"/>
      <c r="K364" s="323"/>
      <c r="L364" s="323"/>
      <c r="M364" s="323"/>
      <c r="N364" s="323"/>
    </row>
    <row r="365" spans="7:14" ht="14.25">
      <c r="G365" s="323"/>
      <c r="H365" s="323"/>
      <c r="I365" s="324"/>
      <c r="J365" s="323"/>
      <c r="K365" s="323"/>
      <c r="L365" s="323"/>
      <c r="M365" s="323"/>
      <c r="N365" s="323"/>
    </row>
    <row r="366" spans="7:14" ht="14.25">
      <c r="G366" s="323"/>
      <c r="H366" s="323"/>
      <c r="I366" s="324"/>
      <c r="J366" s="323"/>
      <c r="K366" s="323"/>
      <c r="L366" s="323"/>
      <c r="M366" s="323"/>
      <c r="N366" s="323"/>
    </row>
    <row r="367" spans="7:14" ht="14.25">
      <c r="G367" s="323"/>
      <c r="H367" s="323"/>
      <c r="I367" s="324"/>
      <c r="J367" s="323"/>
      <c r="K367" s="323"/>
      <c r="L367" s="323"/>
      <c r="M367" s="323"/>
      <c r="N367" s="323"/>
    </row>
    <row r="368" spans="7:14" ht="14.25">
      <c r="G368" s="323"/>
      <c r="H368" s="323"/>
      <c r="I368" s="324"/>
      <c r="J368" s="323"/>
      <c r="K368" s="323"/>
      <c r="L368" s="323"/>
      <c r="M368" s="323"/>
      <c r="N368" s="323"/>
    </row>
    <row r="369" spans="7:14" ht="14.25">
      <c r="G369" s="323"/>
      <c r="H369" s="323"/>
      <c r="I369" s="324"/>
      <c r="J369" s="323"/>
      <c r="K369" s="323"/>
      <c r="L369" s="323"/>
      <c r="M369" s="323"/>
      <c r="N369" s="323"/>
    </row>
    <row r="370" spans="7:14" ht="14.25">
      <c r="G370" s="323"/>
      <c r="H370" s="323"/>
      <c r="I370" s="324"/>
      <c r="J370" s="323"/>
      <c r="K370" s="323"/>
      <c r="L370" s="323"/>
      <c r="M370" s="323"/>
      <c r="N370" s="323"/>
    </row>
    <row r="371" spans="7:14" ht="14.25">
      <c r="G371" s="323"/>
      <c r="H371" s="323"/>
      <c r="I371" s="324"/>
      <c r="J371" s="323"/>
      <c r="K371" s="323"/>
      <c r="L371" s="323"/>
      <c r="M371" s="323"/>
      <c r="N371" s="323"/>
    </row>
    <row r="372" spans="7:14" ht="14.25">
      <c r="G372" s="323"/>
      <c r="H372" s="323"/>
      <c r="I372" s="324"/>
      <c r="J372" s="323"/>
      <c r="K372" s="323"/>
      <c r="L372" s="323"/>
      <c r="M372" s="323"/>
      <c r="N372" s="323"/>
    </row>
    <row r="373" spans="7:14" ht="14.25">
      <c r="G373" s="323"/>
      <c r="H373" s="323"/>
      <c r="I373" s="324"/>
      <c r="J373" s="323"/>
      <c r="K373" s="323"/>
      <c r="L373" s="323"/>
      <c r="M373" s="323"/>
      <c r="N373" s="323"/>
    </row>
    <row r="374" spans="7:14" ht="14.25">
      <c r="G374" s="323"/>
      <c r="H374" s="323"/>
      <c r="I374" s="324"/>
      <c r="J374" s="323"/>
      <c r="K374" s="323"/>
      <c r="L374" s="323"/>
      <c r="M374" s="323"/>
      <c r="N374" s="323"/>
    </row>
    <row r="375" spans="7:14" ht="14.25">
      <c r="G375" s="323"/>
      <c r="H375" s="323"/>
      <c r="I375" s="324"/>
      <c r="J375" s="323"/>
      <c r="K375" s="323"/>
      <c r="L375" s="323"/>
      <c r="M375" s="323"/>
      <c r="N375" s="323"/>
    </row>
    <row r="376" spans="7:14" ht="14.25">
      <c r="G376" s="323"/>
      <c r="H376" s="323"/>
      <c r="I376" s="324"/>
      <c r="J376" s="323"/>
      <c r="K376" s="323"/>
      <c r="L376" s="323"/>
      <c r="M376" s="323"/>
      <c r="N376" s="323"/>
    </row>
    <row r="377" spans="7:14" ht="14.25">
      <c r="G377" s="323"/>
      <c r="H377" s="323"/>
      <c r="I377" s="324"/>
      <c r="J377" s="323"/>
      <c r="K377" s="323"/>
      <c r="L377" s="323"/>
      <c r="M377" s="323"/>
      <c r="N377" s="323"/>
    </row>
    <row r="378" spans="7:14" ht="14.25">
      <c r="G378" s="323"/>
      <c r="H378" s="323"/>
      <c r="I378" s="324"/>
      <c r="J378" s="323"/>
      <c r="K378" s="323"/>
      <c r="L378" s="323"/>
      <c r="M378" s="323"/>
      <c r="N378" s="323"/>
    </row>
    <row r="379" spans="7:14" ht="14.25">
      <c r="G379" s="323"/>
      <c r="H379" s="323"/>
      <c r="I379" s="324"/>
      <c r="J379" s="323"/>
      <c r="K379" s="323"/>
      <c r="L379" s="323"/>
      <c r="M379" s="323"/>
      <c r="N379" s="323"/>
    </row>
    <row r="380" spans="7:14" ht="14.25">
      <c r="G380" s="323"/>
      <c r="H380" s="323"/>
      <c r="I380" s="324"/>
      <c r="J380" s="323"/>
      <c r="K380" s="323"/>
      <c r="L380" s="323"/>
      <c r="M380" s="323"/>
      <c r="N380" s="323"/>
    </row>
    <row r="381" spans="7:14" ht="14.25">
      <c r="G381" s="323"/>
      <c r="H381" s="323"/>
      <c r="I381" s="324"/>
      <c r="J381" s="323"/>
      <c r="K381" s="323"/>
      <c r="L381" s="323"/>
      <c r="M381" s="323"/>
      <c r="N381" s="323"/>
    </row>
    <row r="382" spans="7:14" ht="14.25">
      <c r="G382" s="323"/>
      <c r="H382" s="323"/>
      <c r="I382" s="324"/>
      <c r="J382" s="323"/>
      <c r="K382" s="323"/>
      <c r="L382" s="323"/>
      <c r="M382" s="323"/>
      <c r="N382" s="323"/>
    </row>
    <row r="383" spans="7:14" ht="14.25">
      <c r="G383" s="323"/>
      <c r="H383" s="323"/>
      <c r="I383" s="324"/>
      <c r="J383" s="323"/>
      <c r="K383" s="323"/>
      <c r="L383" s="323"/>
      <c r="M383" s="323"/>
      <c r="N383" s="323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0" r:id="rId3"/>
  <rowBreaks count="16" manualBreakCount="16">
    <brk id="28" max="11" man="1"/>
    <brk id="37" max="5" man="1"/>
    <brk id="55" max="5" man="1"/>
    <brk id="68" max="5" man="1"/>
    <brk id="78" max="5" man="1"/>
    <brk id="85" max="5" man="1"/>
    <brk id="90" max="5" man="1"/>
    <brk id="101" max="5" man="1"/>
    <brk id="109" max="5" man="1"/>
    <brk id="117" max="5" man="1"/>
    <brk id="129" max="5" man="1"/>
    <brk id="136" max="5" man="1"/>
    <brk id="150" max="5" man="1"/>
    <brk id="158" max="5" man="1"/>
    <brk id="174" max="5" man="1"/>
    <brk id="200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8"/>
  <sheetViews>
    <sheetView zoomScalePageLayoutView="0" workbookViewId="0" topLeftCell="A172">
      <selection activeCell="L162" sqref="L162"/>
    </sheetView>
  </sheetViews>
  <sheetFormatPr defaultColWidth="8.796875" defaultRowHeight="14.25"/>
  <cols>
    <col min="1" max="1" width="27.69921875" style="0" customWidth="1"/>
    <col min="2" max="2" width="15.19921875" style="0" customWidth="1"/>
    <col min="3" max="3" width="19.19921875" style="0" customWidth="1"/>
    <col min="4" max="4" width="40.59765625" style="0" customWidth="1"/>
  </cols>
  <sheetData>
    <row r="1" spans="1:3" ht="14.25">
      <c r="A1" s="94"/>
      <c r="B1" s="95"/>
      <c r="C1" s="96"/>
    </row>
    <row r="2" spans="1:3" ht="39" thickBot="1">
      <c r="A2" s="97" t="s">
        <v>178</v>
      </c>
      <c r="B2" s="98"/>
      <c r="C2" s="99"/>
    </row>
    <row r="3" spans="1:3" ht="26.25" thickBot="1">
      <c r="A3" s="100" t="s">
        <v>179</v>
      </c>
      <c r="B3" s="101"/>
      <c r="C3" s="102"/>
    </row>
    <row r="4" spans="1:3" ht="14.25">
      <c r="A4" s="103" t="s">
        <v>180</v>
      </c>
      <c r="B4" s="104"/>
      <c r="C4" s="105"/>
    </row>
    <row r="5" spans="1:3" ht="39" thickBot="1">
      <c r="A5" s="106" t="s">
        <v>178</v>
      </c>
      <c r="B5" s="107"/>
      <c r="C5" s="108"/>
    </row>
    <row r="6" spans="1:3" ht="26.25" thickBot="1">
      <c r="A6" s="189" t="s">
        <v>181</v>
      </c>
      <c r="B6" s="190" t="s">
        <v>182</v>
      </c>
      <c r="C6" s="190" t="s">
        <v>183</v>
      </c>
    </row>
    <row r="7" spans="1:3" ht="64.5" thickBot="1">
      <c r="A7" s="189">
        <v>2016</v>
      </c>
      <c r="B7" s="190" t="s">
        <v>184</v>
      </c>
      <c r="C7" s="190" t="s">
        <v>185</v>
      </c>
    </row>
    <row r="8" spans="1:4" ht="77.25" thickBot="1">
      <c r="A8" s="206">
        <v>2017</v>
      </c>
      <c r="B8" s="207" t="s">
        <v>186</v>
      </c>
      <c r="C8" s="207" t="s">
        <v>293</v>
      </c>
      <c r="D8" s="277" t="s">
        <v>292</v>
      </c>
    </row>
    <row r="11" ht="14.25">
      <c r="B11" s="109"/>
    </row>
    <row r="12" ht="15" thickBot="1">
      <c r="A12" s="109"/>
    </row>
    <row r="13" spans="1:3" ht="14.25">
      <c r="A13" s="94"/>
      <c r="B13" s="95"/>
      <c r="C13" s="96"/>
    </row>
    <row r="14" spans="1:3" ht="26.25" thickBot="1">
      <c r="A14" s="110" t="s">
        <v>187</v>
      </c>
      <c r="B14" s="111"/>
      <c r="C14" s="112"/>
    </row>
    <row r="15" spans="1:3" ht="39" thickBot="1">
      <c r="A15" s="113" t="s">
        <v>188</v>
      </c>
      <c r="B15" s="114"/>
      <c r="C15" s="115"/>
    </row>
    <row r="16" spans="1:3" ht="14.25">
      <c r="A16" s="116" t="s">
        <v>180</v>
      </c>
      <c r="B16" s="117"/>
      <c r="C16" s="118"/>
    </row>
    <row r="17" spans="1:3" ht="26.25" thickBot="1">
      <c r="A17" s="119" t="s">
        <v>187</v>
      </c>
      <c r="B17" s="120"/>
      <c r="C17" s="121"/>
    </row>
    <row r="18" spans="1:3" ht="26.25" thickBot="1">
      <c r="A18" s="191" t="s">
        <v>181</v>
      </c>
      <c r="B18" s="192" t="s">
        <v>182</v>
      </c>
      <c r="C18" s="192" t="s">
        <v>183</v>
      </c>
    </row>
    <row r="19" spans="1:3" ht="64.5" thickBot="1">
      <c r="A19" s="191">
        <v>2016</v>
      </c>
      <c r="B19" s="192" t="s">
        <v>189</v>
      </c>
      <c r="C19" s="192" t="s">
        <v>190</v>
      </c>
    </row>
    <row r="20" spans="1:4" ht="64.5" thickBot="1">
      <c r="A20" s="209">
        <v>2017</v>
      </c>
      <c r="B20" s="208" t="s">
        <v>191</v>
      </c>
      <c r="C20" s="208" t="s">
        <v>192</v>
      </c>
      <c r="D20" s="139" t="s">
        <v>310</v>
      </c>
    </row>
    <row r="21" ht="14.25">
      <c r="A21" s="122"/>
    </row>
    <row r="22" ht="14.25">
      <c r="A22" s="122"/>
    </row>
    <row r="23" ht="15" thickBot="1">
      <c r="A23" s="122"/>
    </row>
    <row r="24" spans="1:3" ht="14.25">
      <c r="A24" s="123"/>
      <c r="B24" s="124"/>
      <c r="C24" s="125"/>
    </row>
    <row r="25" spans="1:3" ht="51.75" thickBot="1">
      <c r="A25" s="126" t="s">
        <v>193</v>
      </c>
      <c r="B25" s="127"/>
      <c r="C25" s="128"/>
    </row>
    <row r="26" spans="1:3" ht="39" thickBot="1">
      <c r="A26" s="129" t="s">
        <v>188</v>
      </c>
      <c r="B26" s="130"/>
      <c r="C26" s="131"/>
    </row>
    <row r="27" spans="1:3" ht="14.25">
      <c r="A27" s="132" t="s">
        <v>180</v>
      </c>
      <c r="B27" s="133"/>
      <c r="C27" s="134"/>
    </row>
    <row r="28" spans="1:3" ht="51.75" thickBot="1">
      <c r="A28" s="135" t="s">
        <v>193</v>
      </c>
      <c r="B28" s="136"/>
      <c r="C28" s="137"/>
    </row>
    <row r="29" spans="1:3" ht="26.25" thickBot="1">
      <c r="A29" s="193" t="s">
        <v>181</v>
      </c>
      <c r="B29" s="194" t="s">
        <v>182</v>
      </c>
      <c r="C29" s="194" t="s">
        <v>183</v>
      </c>
    </row>
    <row r="30" spans="1:3" ht="64.5" thickBot="1">
      <c r="A30" s="193">
        <v>2016</v>
      </c>
      <c r="B30" s="194" t="s">
        <v>189</v>
      </c>
      <c r="C30" s="194" t="s">
        <v>194</v>
      </c>
    </row>
    <row r="31" spans="1:11" ht="72" customHeight="1" thickBot="1">
      <c r="A31" s="211">
        <v>2017</v>
      </c>
      <c r="B31" s="210" t="s">
        <v>191</v>
      </c>
      <c r="C31" s="254" t="s">
        <v>256</v>
      </c>
      <c r="D31" s="255" t="s">
        <v>255</v>
      </c>
      <c r="E31" s="2"/>
      <c r="F31" s="2"/>
      <c r="G31" s="2"/>
      <c r="H31" s="2"/>
      <c r="I31" s="2"/>
      <c r="J31" s="2"/>
      <c r="K31" s="2"/>
    </row>
    <row r="32" spans="1:3" ht="14.25">
      <c r="A32" s="138"/>
      <c r="B32" s="139"/>
      <c r="C32" s="139"/>
    </row>
    <row r="33" ht="15" thickBot="1"/>
    <row r="34" spans="1:3" ht="14.25">
      <c r="A34" s="94"/>
      <c r="B34" s="95"/>
      <c r="C34" s="96"/>
    </row>
    <row r="35" spans="1:3" ht="14.25">
      <c r="A35" s="140"/>
      <c r="B35" s="141"/>
      <c r="C35" s="142"/>
    </row>
    <row r="36" spans="1:3" ht="15" thickBot="1">
      <c r="A36" s="143" t="s">
        <v>195</v>
      </c>
      <c r="B36" s="144"/>
      <c r="C36" s="145"/>
    </row>
    <row r="37" spans="1:3" ht="26.25" thickBot="1">
      <c r="A37" s="146" t="s">
        <v>196</v>
      </c>
      <c r="B37" s="147"/>
      <c r="C37" s="148"/>
    </row>
    <row r="38" spans="1:3" ht="14.25">
      <c r="A38" s="149" t="s">
        <v>180</v>
      </c>
      <c r="B38" s="150"/>
      <c r="C38" s="151"/>
    </row>
    <row r="39" spans="1:3" ht="26.25" thickBot="1">
      <c r="A39" s="152" t="s">
        <v>197</v>
      </c>
      <c r="B39" s="153"/>
      <c r="C39" s="154"/>
    </row>
    <row r="40" spans="1:3" ht="26.25" thickBot="1">
      <c r="A40" s="195" t="s">
        <v>181</v>
      </c>
      <c r="B40" s="196" t="s">
        <v>182</v>
      </c>
      <c r="C40" s="196" t="s">
        <v>183</v>
      </c>
    </row>
    <row r="41" spans="1:3" ht="64.5" thickBot="1">
      <c r="A41" s="195">
        <v>2016</v>
      </c>
      <c r="B41" s="196" t="s">
        <v>198</v>
      </c>
      <c r="C41" s="196" t="s">
        <v>199</v>
      </c>
    </row>
    <row r="42" spans="1:3" ht="64.5" thickBot="1">
      <c r="A42" s="197">
        <v>2017</v>
      </c>
      <c r="B42" s="212" t="s">
        <v>191</v>
      </c>
      <c r="C42" s="212" t="s">
        <v>200</v>
      </c>
    </row>
    <row r="43" spans="1:3" ht="64.5" thickBot="1">
      <c r="A43" s="197">
        <v>2018</v>
      </c>
      <c r="B43" s="196" t="s">
        <v>191</v>
      </c>
      <c r="C43" s="196" t="s">
        <v>201</v>
      </c>
    </row>
    <row r="44" spans="1:3" ht="14.25">
      <c r="A44" s="155"/>
      <c r="B44" s="155"/>
      <c r="C44" s="155"/>
    </row>
    <row r="45" spans="1:3" ht="15" thickBot="1">
      <c r="A45" s="155"/>
      <c r="B45" s="155"/>
      <c r="C45" s="155"/>
    </row>
    <row r="46" spans="1:3" ht="14.25">
      <c r="A46" s="156"/>
      <c r="B46" s="157"/>
      <c r="C46" s="158"/>
    </row>
    <row r="47" spans="1:3" ht="26.25" thickBot="1">
      <c r="A47" s="143" t="s">
        <v>202</v>
      </c>
      <c r="B47" s="144"/>
      <c r="C47" s="145"/>
    </row>
    <row r="48" spans="1:3" ht="26.25" thickBot="1">
      <c r="A48" s="146" t="s">
        <v>196</v>
      </c>
      <c r="B48" s="147"/>
      <c r="C48" s="148"/>
    </row>
    <row r="49" spans="1:3" ht="14.25">
      <c r="A49" s="149" t="s">
        <v>180</v>
      </c>
      <c r="B49" s="150"/>
      <c r="C49" s="151"/>
    </row>
    <row r="50" spans="1:3" ht="38.25">
      <c r="A50" s="159" t="s">
        <v>203</v>
      </c>
      <c r="B50" s="160"/>
      <c r="C50" s="161"/>
    </row>
    <row r="51" spans="1:3" ht="15" thickBot="1">
      <c r="A51" s="152"/>
      <c r="B51" s="153"/>
      <c r="C51" s="154"/>
    </row>
    <row r="52" spans="1:3" ht="26.25" thickBot="1">
      <c r="A52" s="195" t="s">
        <v>181</v>
      </c>
      <c r="B52" s="196" t="s">
        <v>182</v>
      </c>
      <c r="C52" s="196" t="s">
        <v>183</v>
      </c>
    </row>
    <row r="53" spans="1:3" ht="64.5" thickBot="1">
      <c r="A53" s="195">
        <v>2016</v>
      </c>
      <c r="B53" s="196" t="s">
        <v>198</v>
      </c>
      <c r="C53" s="196" t="s">
        <v>204</v>
      </c>
    </row>
    <row r="54" spans="1:3" ht="64.5" thickBot="1">
      <c r="A54" s="197">
        <v>2017</v>
      </c>
      <c r="B54" s="212" t="s">
        <v>191</v>
      </c>
      <c r="C54" s="212" t="s">
        <v>205</v>
      </c>
    </row>
    <row r="55" spans="1:3" ht="63.75">
      <c r="A55" s="213">
        <v>2018</v>
      </c>
      <c r="B55" s="214" t="s">
        <v>191</v>
      </c>
      <c r="C55" s="214" t="s">
        <v>205</v>
      </c>
    </row>
    <row r="56" spans="1:3" ht="14.25">
      <c r="A56" s="215"/>
      <c r="B56" s="215"/>
      <c r="C56" s="215"/>
    </row>
    <row r="57" spans="1:3" ht="14.25">
      <c r="A57" s="216"/>
      <c r="B57" s="217"/>
      <c r="C57" s="217"/>
    </row>
    <row r="58" spans="1:3" ht="14.25">
      <c r="A58" s="218"/>
      <c r="B58" s="218"/>
      <c r="C58" s="218"/>
    </row>
    <row r="59" spans="1:3" ht="14.25">
      <c r="A59" s="216"/>
      <c r="B59" s="219"/>
      <c r="C59" s="219"/>
    </row>
    <row r="60" spans="1:3" ht="14.25">
      <c r="A60" s="218"/>
      <c r="B60" s="218"/>
      <c r="C60" s="218"/>
    </row>
    <row r="61" spans="1:3" ht="14.25">
      <c r="A61" s="218"/>
      <c r="B61" s="218"/>
      <c r="C61" s="218"/>
    </row>
    <row r="62" spans="1:3" ht="14.25">
      <c r="A62" s="220"/>
      <c r="B62" s="220"/>
      <c r="C62" s="220"/>
    </row>
    <row r="63" spans="1:3" ht="14.25">
      <c r="A63" s="221"/>
      <c r="B63" s="221"/>
      <c r="C63" s="221"/>
    </row>
    <row r="64" spans="1:3" ht="14.25">
      <c r="A64" s="221"/>
      <c r="B64" s="221"/>
      <c r="C64" s="221"/>
    </row>
    <row r="65" spans="1:3" ht="14.25">
      <c r="A65" s="215"/>
      <c r="B65" s="215"/>
      <c r="C65" s="215"/>
    </row>
    <row r="66" spans="1:3" ht="14.25">
      <c r="A66" s="215"/>
      <c r="B66" s="215"/>
      <c r="C66" s="215"/>
    </row>
    <row r="67" spans="1:3" ht="14.25">
      <c r="A67" s="198"/>
      <c r="B67" s="199"/>
      <c r="C67" s="200"/>
    </row>
    <row r="68" spans="1:3" ht="39" thickBot="1">
      <c r="A68" s="162" t="s">
        <v>206</v>
      </c>
      <c r="B68" s="163"/>
      <c r="C68" s="164"/>
    </row>
    <row r="69" spans="1:3" ht="39" thickBot="1">
      <c r="A69" s="165" t="s">
        <v>188</v>
      </c>
      <c r="B69" s="166"/>
      <c r="C69" s="167"/>
    </row>
    <row r="70" spans="1:3" ht="14.25">
      <c r="A70" s="168" t="s">
        <v>180</v>
      </c>
      <c r="B70" s="169"/>
      <c r="C70" s="170"/>
    </row>
    <row r="71" spans="1:3" ht="39" thickBot="1">
      <c r="A71" s="171" t="s">
        <v>207</v>
      </c>
      <c r="B71" s="172"/>
      <c r="C71" s="173"/>
    </row>
    <row r="72" spans="1:3" ht="26.25" thickBot="1">
      <c r="A72" s="201" t="s">
        <v>181</v>
      </c>
      <c r="B72" s="202" t="s">
        <v>182</v>
      </c>
      <c r="C72" s="202" t="s">
        <v>183</v>
      </c>
    </row>
    <row r="73" spans="1:3" ht="63.75">
      <c r="A73" s="203">
        <v>2016</v>
      </c>
      <c r="B73" s="203" t="s">
        <v>208</v>
      </c>
      <c r="C73" s="203" t="s">
        <v>194</v>
      </c>
    </row>
    <row r="74" spans="1:3" ht="15" thickBot="1">
      <c r="A74" s="201"/>
      <c r="B74" s="201"/>
      <c r="C74" s="201"/>
    </row>
    <row r="75" spans="1:3" ht="63.75">
      <c r="A75" s="225">
        <v>2017</v>
      </c>
      <c r="B75" s="223" t="s">
        <v>209</v>
      </c>
      <c r="C75" s="222" t="s">
        <v>210</v>
      </c>
    </row>
    <row r="76" spans="1:3" ht="15" thickBot="1">
      <c r="A76" s="201"/>
      <c r="B76" s="224" t="s">
        <v>211</v>
      </c>
      <c r="C76" s="201"/>
    </row>
    <row r="77" ht="14.25">
      <c r="A77" s="122"/>
    </row>
    <row r="78" ht="15" thickBot="1"/>
    <row r="79" spans="1:3" ht="14.25">
      <c r="A79" s="94"/>
      <c r="B79" s="95"/>
      <c r="C79" s="96"/>
    </row>
    <row r="80" spans="1:3" ht="64.5" thickBot="1">
      <c r="A80" s="174" t="s">
        <v>212</v>
      </c>
      <c r="B80" s="175"/>
      <c r="C80" s="176"/>
    </row>
    <row r="81" spans="1:3" ht="39" thickBot="1">
      <c r="A81" s="177" t="s">
        <v>188</v>
      </c>
      <c r="B81" s="178"/>
      <c r="C81" s="179"/>
    </row>
    <row r="82" spans="1:3" ht="14.25">
      <c r="A82" s="180" t="s">
        <v>180</v>
      </c>
      <c r="B82" s="181"/>
      <c r="C82" s="182"/>
    </row>
    <row r="83" spans="1:3" ht="14.25">
      <c r="A83" s="183"/>
      <c r="B83" s="184"/>
      <c r="C83" s="185"/>
    </row>
    <row r="84" spans="1:3" ht="51">
      <c r="A84" s="183" t="s">
        <v>212</v>
      </c>
      <c r="B84" s="184"/>
      <c r="C84" s="185"/>
    </row>
    <row r="85" spans="1:3" ht="15" thickBot="1">
      <c r="A85" s="186"/>
      <c r="B85" s="187"/>
      <c r="C85" s="188"/>
    </row>
    <row r="86" spans="1:3" ht="26.25" thickBot="1">
      <c r="A86" s="204" t="s">
        <v>181</v>
      </c>
      <c r="B86" s="205" t="s">
        <v>182</v>
      </c>
      <c r="C86" s="205" t="s">
        <v>183</v>
      </c>
    </row>
    <row r="87" spans="1:3" ht="64.5" thickBot="1">
      <c r="A87" s="204">
        <v>2016</v>
      </c>
      <c r="B87" s="205" t="s">
        <v>189</v>
      </c>
      <c r="C87" s="205" t="s">
        <v>213</v>
      </c>
    </row>
    <row r="88" spans="1:4" ht="64.5" thickBot="1">
      <c r="A88" s="227">
        <v>2017</v>
      </c>
      <c r="B88" s="226" t="s">
        <v>191</v>
      </c>
      <c r="C88" s="261" t="s">
        <v>304</v>
      </c>
      <c r="D88" s="255" t="s">
        <v>303</v>
      </c>
    </row>
    <row r="91" spans="1:3" ht="51">
      <c r="A91" s="230" t="s">
        <v>233</v>
      </c>
      <c r="B91" s="230"/>
      <c r="C91" s="230"/>
    </row>
    <row r="92" spans="1:3" ht="38.25">
      <c r="A92" s="231" t="s">
        <v>188</v>
      </c>
      <c r="B92" s="231"/>
      <c r="C92" s="231"/>
    </row>
    <row r="93" spans="1:3" ht="14.25">
      <c r="A93" s="232" t="s">
        <v>180</v>
      </c>
      <c r="B93" s="232"/>
      <c r="C93" s="232"/>
    </row>
    <row r="94" spans="1:3" ht="54.75" customHeight="1">
      <c r="A94" s="231" t="s">
        <v>233</v>
      </c>
      <c r="B94" s="231"/>
      <c r="C94" s="231"/>
    </row>
    <row r="95" spans="1:3" ht="25.5">
      <c r="A95" s="233" t="s">
        <v>181</v>
      </c>
      <c r="B95" s="233" t="s">
        <v>182</v>
      </c>
      <c r="C95" s="233" t="s">
        <v>183</v>
      </c>
    </row>
    <row r="96" spans="1:4" ht="76.5">
      <c r="A96" s="233">
        <v>2017</v>
      </c>
      <c r="B96" s="233" t="s">
        <v>189</v>
      </c>
      <c r="C96" s="234" t="s">
        <v>308</v>
      </c>
      <c r="D96" s="139" t="s">
        <v>309</v>
      </c>
    </row>
    <row r="97" spans="1:3" ht="63.75">
      <c r="A97" s="235">
        <v>2018</v>
      </c>
      <c r="B97" s="235" t="s">
        <v>191</v>
      </c>
      <c r="C97" s="235" t="s">
        <v>234</v>
      </c>
    </row>
    <row r="98" ht="15" thickBot="1"/>
    <row r="99" spans="1:3" ht="14.25">
      <c r="A99" s="492"/>
      <c r="B99" s="493"/>
      <c r="C99" s="494"/>
    </row>
    <row r="100" spans="1:3" ht="15" thickBot="1">
      <c r="A100" s="495" t="s">
        <v>237</v>
      </c>
      <c r="B100" s="496"/>
      <c r="C100" s="497"/>
    </row>
    <row r="101" spans="1:3" ht="15" thickBot="1">
      <c r="A101" s="498" t="s">
        <v>188</v>
      </c>
      <c r="B101" s="499"/>
      <c r="C101" s="500"/>
    </row>
    <row r="102" spans="1:3" ht="14.25">
      <c r="A102" s="501" t="s">
        <v>238</v>
      </c>
      <c r="B102" s="502"/>
      <c r="C102" s="503"/>
    </row>
    <row r="103" spans="1:3" ht="15" thickBot="1">
      <c r="A103" s="495" t="s">
        <v>237</v>
      </c>
      <c r="B103" s="496"/>
      <c r="C103" s="497"/>
    </row>
    <row r="104" spans="1:3" ht="26.25" thickBot="1">
      <c r="A104" s="237" t="s">
        <v>181</v>
      </c>
      <c r="B104" s="238" t="s">
        <v>182</v>
      </c>
      <c r="C104" s="242" t="s">
        <v>183</v>
      </c>
    </row>
    <row r="105" spans="1:4" ht="64.5" thickBot="1">
      <c r="A105" s="257">
        <v>2016</v>
      </c>
      <c r="B105" s="258" t="s">
        <v>239</v>
      </c>
      <c r="C105" s="259" t="s">
        <v>194</v>
      </c>
      <c r="D105" s="260" t="s">
        <v>259</v>
      </c>
    </row>
    <row r="106" spans="1:3" ht="64.5" thickBot="1">
      <c r="A106" s="237">
        <v>2017</v>
      </c>
      <c r="B106" s="239" t="s">
        <v>240</v>
      </c>
      <c r="C106" s="242" t="s">
        <v>241</v>
      </c>
    </row>
    <row r="107" spans="1:3" ht="64.5" thickBot="1">
      <c r="A107" s="237">
        <v>2018</v>
      </c>
      <c r="B107" s="239" t="s">
        <v>242</v>
      </c>
      <c r="C107" s="242" t="s">
        <v>243</v>
      </c>
    </row>
    <row r="108" spans="1:3" ht="14.25">
      <c r="A108" s="240"/>
      <c r="B108" s="241"/>
      <c r="C108" s="241"/>
    </row>
    <row r="109" ht="15" thickBot="1"/>
    <row r="110" spans="1:3" ht="14.25">
      <c r="A110" s="465"/>
      <c r="B110" s="466"/>
      <c r="C110" s="467"/>
    </row>
    <row r="111" spans="1:3" ht="25.5" customHeight="1">
      <c r="A111" s="510" t="s">
        <v>244</v>
      </c>
      <c r="B111" s="511"/>
      <c r="C111" s="512"/>
    </row>
    <row r="112" spans="1:3" ht="15" thickBot="1">
      <c r="A112" s="480" t="s">
        <v>245</v>
      </c>
      <c r="B112" s="481"/>
      <c r="C112" s="482"/>
    </row>
    <row r="113" spans="1:3" ht="15" thickBot="1">
      <c r="A113" s="513" t="s">
        <v>188</v>
      </c>
      <c r="B113" s="514"/>
      <c r="C113" s="515"/>
    </row>
    <row r="114" spans="1:3" ht="14.25">
      <c r="A114" s="516" t="s">
        <v>238</v>
      </c>
      <c r="B114" s="517"/>
      <c r="C114" s="518"/>
    </row>
    <row r="115" spans="1:3" ht="25.5" customHeight="1">
      <c r="A115" s="519" t="s">
        <v>246</v>
      </c>
      <c r="B115" s="520"/>
      <c r="C115" s="521"/>
    </row>
    <row r="116" spans="1:3" ht="15" thickBot="1">
      <c r="A116" s="480" t="s">
        <v>247</v>
      </c>
      <c r="B116" s="481"/>
      <c r="C116" s="482"/>
    </row>
    <row r="117" spans="1:3" ht="26.25" thickBot="1">
      <c r="A117" s="243" t="s">
        <v>181</v>
      </c>
      <c r="B117" s="244" t="s">
        <v>182</v>
      </c>
      <c r="C117" s="244" t="s">
        <v>183</v>
      </c>
    </row>
    <row r="118" spans="1:3" ht="64.5" thickBot="1">
      <c r="A118" s="243">
        <v>2016</v>
      </c>
      <c r="B118" s="245" t="s">
        <v>239</v>
      </c>
      <c r="C118" s="244" t="s">
        <v>248</v>
      </c>
    </row>
    <row r="119" spans="1:4" ht="77.25" thickBot="1">
      <c r="A119" s="243">
        <v>2017</v>
      </c>
      <c r="B119" s="245" t="s">
        <v>249</v>
      </c>
      <c r="C119" s="244" t="s">
        <v>307</v>
      </c>
      <c r="D119" s="139" t="s">
        <v>306</v>
      </c>
    </row>
    <row r="126" spans="1:15" ht="15">
      <c r="A126" s="249" t="s">
        <v>214</v>
      </c>
      <c r="B126" s="250"/>
      <c r="C126" s="250"/>
      <c r="D126" s="251"/>
      <c r="E126" s="251"/>
      <c r="F126" s="251"/>
      <c r="G126" s="251"/>
      <c r="H126" s="251"/>
      <c r="I126" s="251"/>
      <c r="J126" s="251"/>
      <c r="K126" s="251"/>
      <c r="L126" s="251"/>
      <c r="M126" s="251"/>
      <c r="N126" s="251"/>
      <c r="O126" s="251"/>
    </row>
    <row r="127" spans="1:15" ht="14.25">
      <c r="A127" s="250"/>
      <c r="B127" s="250"/>
      <c r="C127" s="250"/>
      <c r="D127" s="251"/>
      <c r="E127" s="251"/>
      <c r="F127" s="251"/>
      <c r="G127" s="251"/>
      <c r="H127" s="251"/>
      <c r="I127" s="251"/>
      <c r="J127" s="251"/>
      <c r="K127" s="251"/>
      <c r="L127" s="251"/>
      <c r="M127" s="251"/>
      <c r="N127" s="251"/>
      <c r="O127" s="251"/>
    </row>
    <row r="128" spans="1:15" ht="15">
      <c r="A128" s="249" t="s">
        <v>216</v>
      </c>
      <c r="B128" s="250"/>
      <c r="C128" s="250"/>
      <c r="D128" s="251"/>
      <c r="E128" s="251"/>
      <c r="F128" s="251"/>
      <c r="G128" s="251"/>
      <c r="H128" s="251"/>
      <c r="I128" s="251"/>
      <c r="J128" s="251"/>
      <c r="K128" s="251"/>
      <c r="L128" s="251"/>
      <c r="M128" s="251"/>
      <c r="N128" s="251"/>
      <c r="O128" s="251"/>
    </row>
    <row r="129" spans="1:15" ht="14.25">
      <c r="A129" s="250" t="s">
        <v>215</v>
      </c>
      <c r="B129" s="250"/>
      <c r="C129" s="250"/>
      <c r="D129" s="251"/>
      <c r="E129" s="251"/>
      <c r="F129" s="251"/>
      <c r="G129" s="251"/>
      <c r="H129" s="251"/>
      <c r="I129" s="251"/>
      <c r="J129" s="251"/>
      <c r="K129" s="251"/>
      <c r="L129" s="251"/>
      <c r="M129" s="251"/>
      <c r="N129" s="251"/>
      <c r="O129" s="251"/>
    </row>
    <row r="130" spans="1:15" ht="14.25">
      <c r="A130" s="250" t="s">
        <v>180</v>
      </c>
      <c r="B130" s="250"/>
      <c r="C130" s="250"/>
      <c r="D130" s="251"/>
      <c r="E130" s="251"/>
      <c r="F130" s="251"/>
      <c r="G130" s="251"/>
      <c r="H130" s="251"/>
      <c r="I130" s="251"/>
      <c r="J130" s="251"/>
      <c r="K130" s="251"/>
      <c r="L130" s="251"/>
      <c r="M130" s="251"/>
      <c r="N130" s="251"/>
      <c r="O130" s="251"/>
    </row>
    <row r="131" spans="1:15" ht="14.25">
      <c r="A131" s="250" t="s">
        <v>217</v>
      </c>
      <c r="B131" s="250"/>
      <c r="C131" s="250"/>
      <c r="D131" s="251"/>
      <c r="E131" s="251"/>
      <c r="F131" s="251"/>
      <c r="G131" s="251"/>
      <c r="H131" s="251"/>
      <c r="I131" s="251"/>
      <c r="J131" s="251"/>
      <c r="K131" s="251"/>
      <c r="L131" s="251"/>
      <c r="M131" s="251"/>
      <c r="N131" s="251"/>
      <c r="O131" s="251"/>
    </row>
    <row r="132" spans="1:15" ht="14.25">
      <c r="A132" s="250"/>
      <c r="B132" s="250"/>
      <c r="C132" s="250"/>
      <c r="D132" s="251"/>
      <c r="E132" s="251"/>
      <c r="F132" s="251"/>
      <c r="G132" s="251"/>
      <c r="H132" s="251"/>
      <c r="I132" s="251"/>
      <c r="J132" s="251"/>
      <c r="K132" s="251"/>
      <c r="L132" s="251"/>
      <c r="M132" s="251"/>
      <c r="N132" s="251"/>
      <c r="O132" s="251"/>
    </row>
    <row r="133" spans="1:15" ht="14.25">
      <c r="A133" s="250"/>
      <c r="B133" s="250" t="s">
        <v>182</v>
      </c>
      <c r="C133" s="250" t="s">
        <v>183</v>
      </c>
      <c r="D133" s="251"/>
      <c r="E133" s="251"/>
      <c r="F133" s="251"/>
      <c r="G133" s="251"/>
      <c r="H133" s="251"/>
      <c r="I133" s="251"/>
      <c r="J133" s="251"/>
      <c r="K133" s="251"/>
      <c r="L133" s="251"/>
      <c r="M133" s="251"/>
      <c r="N133" s="251"/>
      <c r="O133" s="251"/>
    </row>
    <row r="134" spans="1:15" ht="14.25">
      <c r="A134" s="250" t="s">
        <v>181</v>
      </c>
      <c r="B134" s="250"/>
      <c r="C134" s="250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</row>
    <row r="135" spans="1:15" ht="14.25">
      <c r="A135" s="250">
        <v>2015</v>
      </c>
      <c r="B135" s="250" t="s">
        <v>189</v>
      </c>
      <c r="C135" s="250" t="s">
        <v>218</v>
      </c>
      <c r="D135" s="251"/>
      <c r="E135" s="251"/>
      <c r="F135" s="251"/>
      <c r="G135" s="251"/>
      <c r="H135" s="251"/>
      <c r="I135" s="251"/>
      <c r="J135" s="251"/>
      <c r="K135" s="251"/>
      <c r="L135" s="251"/>
      <c r="M135" s="251"/>
      <c r="N135" s="251"/>
      <c r="O135" s="251"/>
    </row>
    <row r="136" spans="1:15" ht="15">
      <c r="A136" s="252">
        <v>2017</v>
      </c>
      <c r="B136" s="250" t="s">
        <v>191</v>
      </c>
      <c r="C136" s="250" t="s">
        <v>219</v>
      </c>
      <c r="D136" s="251"/>
      <c r="E136" s="251"/>
      <c r="F136" s="251"/>
      <c r="G136" s="251"/>
      <c r="H136" s="251"/>
      <c r="I136" s="251"/>
      <c r="J136" s="251"/>
      <c r="K136" s="251"/>
      <c r="L136" s="251"/>
      <c r="M136" s="251"/>
      <c r="N136" s="251"/>
      <c r="O136" s="251"/>
    </row>
    <row r="137" spans="1:15" ht="14.25">
      <c r="A137" s="250"/>
      <c r="B137" s="250"/>
      <c r="C137" s="250"/>
      <c r="D137" s="251"/>
      <c r="E137" s="251"/>
      <c r="F137" s="251"/>
      <c r="G137" s="251"/>
      <c r="H137" s="251"/>
      <c r="I137" s="251"/>
      <c r="J137" s="251"/>
      <c r="K137" s="251"/>
      <c r="L137" s="251"/>
      <c r="M137" s="251"/>
      <c r="N137" s="251"/>
      <c r="O137" s="251"/>
    </row>
    <row r="138" spans="1:15" ht="14.25">
      <c r="A138" s="250"/>
      <c r="B138" s="250"/>
      <c r="C138" s="250"/>
      <c r="D138" s="251"/>
      <c r="E138" s="251"/>
      <c r="F138" s="251"/>
      <c r="G138" s="251"/>
      <c r="H138" s="251"/>
      <c r="I138" s="251"/>
      <c r="J138" s="251"/>
      <c r="K138" s="251"/>
      <c r="L138" s="251"/>
      <c r="M138" s="251"/>
      <c r="N138" s="251"/>
      <c r="O138" s="251"/>
    </row>
    <row r="139" spans="1:15" ht="14.25">
      <c r="A139" s="250"/>
      <c r="B139" s="250"/>
      <c r="C139" s="250"/>
      <c r="D139" s="251"/>
      <c r="E139" s="251"/>
      <c r="F139" s="251"/>
      <c r="G139" s="251"/>
      <c r="H139" s="251"/>
      <c r="I139" s="251"/>
      <c r="J139" s="251"/>
      <c r="K139" s="251"/>
      <c r="L139" s="251"/>
      <c r="M139" s="251"/>
      <c r="N139" s="251"/>
      <c r="O139" s="251"/>
    </row>
    <row r="140" spans="1:15" ht="15">
      <c r="A140" s="249" t="s">
        <v>220</v>
      </c>
      <c r="B140" s="250"/>
      <c r="C140" s="250"/>
      <c r="D140" s="251"/>
      <c r="E140" s="251"/>
      <c r="F140" s="251"/>
      <c r="G140" s="251"/>
      <c r="H140" s="251"/>
      <c r="I140" s="251"/>
      <c r="J140" s="251"/>
      <c r="K140" s="251"/>
      <c r="L140" s="251"/>
      <c r="M140" s="251"/>
      <c r="N140" s="251"/>
      <c r="O140" s="251"/>
    </row>
    <row r="141" spans="1:15" ht="14.25">
      <c r="A141" s="250" t="s">
        <v>221</v>
      </c>
      <c r="B141" s="250"/>
      <c r="C141" s="250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</row>
    <row r="142" spans="1:15" ht="14.25">
      <c r="A142" s="250" t="s">
        <v>180</v>
      </c>
      <c r="B142" s="250"/>
      <c r="C142" s="250"/>
      <c r="D142" s="251"/>
      <c r="E142" s="251"/>
      <c r="F142" s="251"/>
      <c r="G142" s="251"/>
      <c r="H142" s="251"/>
      <c r="I142" s="251"/>
      <c r="J142" s="251"/>
      <c r="K142" s="251"/>
      <c r="L142" s="251"/>
      <c r="M142" s="251"/>
      <c r="N142" s="251"/>
      <c r="O142" s="251"/>
    </row>
    <row r="143" spans="1:15" ht="14.25">
      <c r="A143" s="250" t="s">
        <v>222</v>
      </c>
      <c r="B143" s="250"/>
      <c r="C143" s="250"/>
      <c r="D143" s="251"/>
      <c r="E143" s="251"/>
      <c r="F143" s="251"/>
      <c r="G143" s="251"/>
      <c r="H143" s="251"/>
      <c r="I143" s="251"/>
      <c r="J143" s="251"/>
      <c r="K143" s="251"/>
      <c r="L143" s="251"/>
      <c r="M143" s="251"/>
      <c r="N143" s="251"/>
      <c r="O143" s="251"/>
    </row>
    <row r="144" spans="1:15" ht="14.25">
      <c r="A144" s="250"/>
      <c r="B144" s="250"/>
      <c r="C144" s="250"/>
      <c r="D144" s="251"/>
      <c r="E144" s="251"/>
      <c r="F144" s="251"/>
      <c r="G144" s="251"/>
      <c r="H144" s="251"/>
      <c r="I144" s="251"/>
      <c r="J144" s="251"/>
      <c r="K144" s="251"/>
      <c r="L144" s="251"/>
      <c r="M144" s="251"/>
      <c r="N144" s="251"/>
      <c r="O144" s="251"/>
    </row>
    <row r="145" spans="1:15" ht="14.25">
      <c r="A145" s="250"/>
      <c r="B145" s="250" t="s">
        <v>182</v>
      </c>
      <c r="C145" s="250" t="s">
        <v>183</v>
      </c>
      <c r="D145" s="251"/>
      <c r="E145" s="251"/>
      <c r="F145" s="251"/>
      <c r="G145" s="251"/>
      <c r="H145" s="251"/>
      <c r="I145" s="251"/>
      <c r="J145" s="251"/>
      <c r="K145" s="251"/>
      <c r="L145" s="251"/>
      <c r="M145" s="251"/>
      <c r="N145" s="251"/>
      <c r="O145" s="251"/>
    </row>
    <row r="146" spans="1:15" ht="14.25">
      <c r="A146" s="250" t="s">
        <v>181</v>
      </c>
      <c r="B146" s="250"/>
      <c r="C146" s="250"/>
      <c r="D146" s="251"/>
      <c r="E146" s="251"/>
      <c r="F146" s="251"/>
      <c r="G146" s="251"/>
      <c r="H146" s="251"/>
      <c r="I146" s="251"/>
      <c r="J146" s="251"/>
      <c r="K146" s="251"/>
      <c r="L146" s="251"/>
      <c r="M146" s="251"/>
      <c r="N146" s="251"/>
      <c r="O146" s="251"/>
    </row>
    <row r="147" spans="1:15" ht="14.25">
      <c r="A147" s="250">
        <v>2015</v>
      </c>
      <c r="B147" s="250" t="s">
        <v>189</v>
      </c>
      <c r="C147" s="250" t="s">
        <v>223</v>
      </c>
      <c r="D147" s="251"/>
      <c r="E147" s="251"/>
      <c r="F147" s="251"/>
      <c r="G147" s="251"/>
      <c r="H147" s="251"/>
      <c r="I147" s="251"/>
      <c r="J147" s="251"/>
      <c r="K147" s="251"/>
      <c r="L147" s="251"/>
      <c r="M147" s="251"/>
      <c r="N147" s="251"/>
      <c r="O147" s="251"/>
    </row>
    <row r="148" spans="1:15" ht="15">
      <c r="A148" s="252">
        <v>2017</v>
      </c>
      <c r="B148" s="250" t="s">
        <v>191</v>
      </c>
      <c r="C148" s="250" t="s">
        <v>224</v>
      </c>
      <c r="D148" s="251"/>
      <c r="E148" s="251"/>
      <c r="F148" s="251"/>
      <c r="G148" s="251"/>
      <c r="H148" s="251"/>
      <c r="I148" s="251"/>
      <c r="J148" s="251"/>
      <c r="K148" s="251"/>
      <c r="L148" s="251"/>
      <c r="M148" s="251"/>
      <c r="N148" s="251"/>
      <c r="O148" s="251"/>
    </row>
    <row r="149" spans="1:3" ht="15" thickBot="1">
      <c r="A149" s="251"/>
      <c r="B149" s="251"/>
      <c r="C149" s="251"/>
    </row>
    <row r="150" spans="1:3" ht="14.25">
      <c r="A150" s="483"/>
      <c r="B150" s="484"/>
      <c r="C150" s="485"/>
    </row>
    <row r="151" spans="1:3" ht="15" thickBot="1">
      <c r="A151" s="486" t="s">
        <v>250</v>
      </c>
      <c r="B151" s="487"/>
      <c r="C151" s="488"/>
    </row>
    <row r="152" spans="1:3" ht="15" thickBot="1">
      <c r="A152" s="489" t="s">
        <v>188</v>
      </c>
      <c r="B152" s="490"/>
      <c r="C152" s="491"/>
    </row>
    <row r="153" spans="1:3" ht="14.25">
      <c r="A153" s="504" t="s">
        <v>180</v>
      </c>
      <c r="B153" s="505"/>
      <c r="C153" s="506"/>
    </row>
    <row r="154" spans="1:3" ht="14.25">
      <c r="A154" s="507" t="s">
        <v>251</v>
      </c>
      <c r="B154" s="508"/>
      <c r="C154" s="509"/>
    </row>
    <row r="155" spans="1:3" ht="15" thickBot="1">
      <c r="A155" s="477"/>
      <c r="B155" s="478"/>
      <c r="C155" s="479"/>
    </row>
    <row r="156" spans="1:3" ht="26.25" thickBot="1">
      <c r="A156" s="246" t="s">
        <v>181</v>
      </c>
      <c r="B156" s="247" t="s">
        <v>182</v>
      </c>
      <c r="C156" s="247" t="s">
        <v>183</v>
      </c>
    </row>
    <row r="157" spans="1:3" ht="64.5" thickBot="1">
      <c r="A157" s="253">
        <v>2017</v>
      </c>
      <c r="B157" s="248" t="s">
        <v>239</v>
      </c>
      <c r="C157" s="247" t="s">
        <v>252</v>
      </c>
    </row>
    <row r="158" spans="1:4" ht="64.5" thickBot="1">
      <c r="A158" s="253">
        <v>2018</v>
      </c>
      <c r="B158" s="248" t="s">
        <v>253</v>
      </c>
      <c r="C158" s="256" t="s">
        <v>254</v>
      </c>
      <c r="D158" s="255" t="s">
        <v>257</v>
      </c>
    </row>
    <row r="160" ht="15" thickBot="1"/>
    <row r="161" spans="1:3" ht="14.25">
      <c r="A161" s="465"/>
      <c r="B161" s="466"/>
      <c r="C161" s="467"/>
    </row>
    <row r="162" spans="1:4" ht="25.5" customHeight="1" thickBot="1">
      <c r="A162" s="474" t="s">
        <v>264</v>
      </c>
      <c r="B162" s="475"/>
      <c r="C162" s="476"/>
      <c r="D162" t="s">
        <v>269</v>
      </c>
    </row>
    <row r="163" spans="1:3" ht="15" thickBot="1">
      <c r="A163" s="439" t="s">
        <v>188</v>
      </c>
      <c r="B163" s="440"/>
      <c r="C163" s="441"/>
    </row>
    <row r="164" spans="1:3" ht="14.25">
      <c r="A164" s="442" t="s">
        <v>238</v>
      </c>
      <c r="B164" s="443"/>
      <c r="C164" s="444"/>
    </row>
    <row r="165" spans="1:3" ht="25.5" customHeight="1" thickBot="1">
      <c r="A165" s="474" t="s">
        <v>265</v>
      </c>
      <c r="B165" s="475"/>
      <c r="C165" s="476"/>
    </row>
    <row r="166" spans="1:3" ht="26.25" thickBot="1">
      <c r="A166" s="268" t="s">
        <v>181</v>
      </c>
      <c r="B166" s="269" t="s">
        <v>182</v>
      </c>
      <c r="C166" s="269" t="s">
        <v>183</v>
      </c>
    </row>
    <row r="167" spans="1:3" ht="64.5" thickBot="1">
      <c r="A167" s="268">
        <v>2016</v>
      </c>
      <c r="B167" s="270" t="s">
        <v>266</v>
      </c>
      <c r="C167" s="269" t="s">
        <v>267</v>
      </c>
    </row>
    <row r="168" spans="1:9" ht="77.25" thickBot="1">
      <c r="A168" s="268">
        <v>2017</v>
      </c>
      <c r="B168" s="270" t="s">
        <v>268</v>
      </c>
      <c r="C168" s="284" t="s">
        <v>319</v>
      </c>
      <c r="D168" s="139" t="s">
        <v>320</v>
      </c>
      <c r="E168" s="139"/>
      <c r="F168" s="139"/>
      <c r="G168" s="139"/>
      <c r="H168" s="139"/>
      <c r="I168" s="139"/>
    </row>
    <row r="169" ht="15" thickBot="1"/>
    <row r="170" spans="1:4" ht="25.5" customHeight="1" thickBot="1">
      <c r="A170" s="453" t="s">
        <v>283</v>
      </c>
      <c r="B170" s="454"/>
      <c r="C170" s="455"/>
      <c r="D170" t="s">
        <v>289</v>
      </c>
    </row>
    <row r="171" spans="1:3" ht="15" thickBot="1">
      <c r="A171" s="468" t="s">
        <v>284</v>
      </c>
      <c r="B171" s="469"/>
      <c r="C171" s="470"/>
    </row>
    <row r="172" spans="1:3" ht="14.25">
      <c r="A172" s="456" t="s">
        <v>238</v>
      </c>
      <c r="B172" s="457"/>
      <c r="C172" s="458"/>
    </row>
    <row r="173" spans="1:3" ht="25.5" customHeight="1" thickBot="1">
      <c r="A173" s="471" t="s">
        <v>283</v>
      </c>
      <c r="B173" s="472"/>
      <c r="C173" s="473"/>
    </row>
    <row r="174" spans="1:3" ht="26.25" thickBot="1">
      <c r="A174" s="273" t="s">
        <v>181</v>
      </c>
      <c r="B174" s="274" t="s">
        <v>182</v>
      </c>
      <c r="C174" s="274" t="s">
        <v>183</v>
      </c>
    </row>
    <row r="175" spans="1:3" ht="64.5" thickBot="1">
      <c r="A175" s="278">
        <v>2018</v>
      </c>
      <c r="B175" s="274" t="s">
        <v>285</v>
      </c>
      <c r="C175" s="275" t="s">
        <v>286</v>
      </c>
    </row>
    <row r="176" spans="1:3" ht="64.5" thickBot="1">
      <c r="A176" s="278">
        <v>2019</v>
      </c>
      <c r="B176" s="274" t="s">
        <v>287</v>
      </c>
      <c r="C176" s="275" t="s">
        <v>288</v>
      </c>
    </row>
    <row r="177" ht="15" thickBot="1"/>
    <row r="178" spans="1:4" ht="25.5" customHeight="1" thickBot="1">
      <c r="A178" s="450" t="s">
        <v>294</v>
      </c>
      <c r="B178" s="451"/>
      <c r="C178" s="452"/>
      <c r="D178" t="s">
        <v>302</v>
      </c>
    </row>
    <row r="179" spans="1:3" ht="15" thickBot="1">
      <c r="A179" s="453" t="s">
        <v>295</v>
      </c>
      <c r="B179" s="454"/>
      <c r="C179" s="455"/>
    </row>
    <row r="180" spans="1:3" ht="14.25">
      <c r="A180" s="456" t="s">
        <v>238</v>
      </c>
      <c r="B180" s="457"/>
      <c r="C180" s="458"/>
    </row>
    <row r="181" spans="1:3" ht="14.25">
      <c r="A181" s="459"/>
      <c r="B181" s="460"/>
      <c r="C181" s="461"/>
    </row>
    <row r="182" spans="1:3" ht="14.25">
      <c r="A182" s="459" t="s">
        <v>296</v>
      </c>
      <c r="B182" s="460"/>
      <c r="C182" s="461"/>
    </row>
    <row r="183" spans="1:3" ht="15" thickBot="1">
      <c r="A183" s="462" t="s">
        <v>297</v>
      </c>
      <c r="B183" s="463"/>
      <c r="C183" s="464"/>
    </row>
    <row r="184" spans="1:3" ht="26.25" thickBot="1">
      <c r="A184" s="273" t="s">
        <v>181</v>
      </c>
      <c r="B184" s="274" t="s">
        <v>182</v>
      </c>
      <c r="C184" s="274" t="s">
        <v>183</v>
      </c>
    </row>
    <row r="185" spans="1:3" ht="87" customHeight="1">
      <c r="A185" s="448">
        <v>2017</v>
      </c>
      <c r="B185" s="448" t="s">
        <v>298</v>
      </c>
      <c r="C185" s="448" t="s">
        <v>299</v>
      </c>
    </row>
    <row r="186" spans="1:3" ht="15" thickBot="1">
      <c r="A186" s="449"/>
      <c r="B186" s="449"/>
      <c r="C186" s="449"/>
    </row>
    <row r="187" spans="1:3" ht="64.5" thickBot="1">
      <c r="A187" s="273">
        <v>2018</v>
      </c>
      <c r="B187" s="274" t="s">
        <v>300</v>
      </c>
      <c r="C187" s="274" t="s">
        <v>301</v>
      </c>
    </row>
    <row r="190" ht="15" thickBot="1"/>
    <row r="191" spans="1:3" ht="14.25">
      <c r="A191" s="433"/>
      <c r="B191" s="434"/>
      <c r="C191" s="435"/>
    </row>
    <row r="192" spans="1:3" ht="15" thickBot="1">
      <c r="A192" s="436" t="s">
        <v>311</v>
      </c>
      <c r="B192" s="437"/>
      <c r="C192" s="438"/>
    </row>
    <row r="193" spans="1:3" ht="15" thickBot="1">
      <c r="A193" s="439" t="s">
        <v>188</v>
      </c>
      <c r="B193" s="440"/>
      <c r="C193" s="441"/>
    </row>
    <row r="194" spans="1:3" ht="14.25">
      <c r="A194" s="442" t="s">
        <v>180</v>
      </c>
      <c r="B194" s="443"/>
      <c r="C194" s="444"/>
    </row>
    <row r="195" spans="1:3" ht="15" thickBot="1">
      <c r="A195" s="445" t="s">
        <v>262</v>
      </c>
      <c r="B195" s="446"/>
      <c r="C195" s="447"/>
    </row>
    <row r="196" spans="1:3" ht="26.25" thickBot="1">
      <c r="A196" s="268" t="s">
        <v>181</v>
      </c>
      <c r="B196" s="269" t="s">
        <v>182</v>
      </c>
      <c r="C196" s="269" t="s">
        <v>183</v>
      </c>
    </row>
    <row r="197" spans="1:3" ht="64.5" thickBot="1">
      <c r="A197" s="268">
        <v>2017</v>
      </c>
      <c r="B197" s="279" t="s">
        <v>239</v>
      </c>
      <c r="C197" s="269" t="s">
        <v>312</v>
      </c>
    </row>
    <row r="198" spans="1:3" ht="64.5" thickBot="1">
      <c r="A198" s="268">
        <v>2018</v>
      </c>
      <c r="B198" s="279" t="s">
        <v>313</v>
      </c>
      <c r="C198" s="269" t="s">
        <v>192</v>
      </c>
    </row>
  </sheetData>
  <sheetProtection/>
  <mergeCells count="41">
    <mergeCell ref="A153:C153"/>
    <mergeCell ref="A154:C154"/>
    <mergeCell ref="A111:C111"/>
    <mergeCell ref="A112:C112"/>
    <mergeCell ref="A113:C113"/>
    <mergeCell ref="A114:C114"/>
    <mergeCell ref="A115:C115"/>
    <mergeCell ref="A155:C155"/>
    <mergeCell ref="A116:C116"/>
    <mergeCell ref="A150:C150"/>
    <mergeCell ref="A151:C151"/>
    <mergeCell ref="A152:C152"/>
    <mergeCell ref="A99:C99"/>
    <mergeCell ref="A100:C100"/>
    <mergeCell ref="A101:C101"/>
    <mergeCell ref="A102:C102"/>
    <mergeCell ref="A103:C103"/>
    <mergeCell ref="A110:C110"/>
    <mergeCell ref="A170:C170"/>
    <mergeCell ref="A171:C171"/>
    <mergeCell ref="A172:C172"/>
    <mergeCell ref="A173:C173"/>
    <mergeCell ref="A161:C161"/>
    <mergeCell ref="A162:C162"/>
    <mergeCell ref="A163:C163"/>
    <mergeCell ref="A164:C164"/>
    <mergeCell ref="A165:C165"/>
    <mergeCell ref="A178:C178"/>
    <mergeCell ref="A179:C179"/>
    <mergeCell ref="A180:C180"/>
    <mergeCell ref="A181:C181"/>
    <mergeCell ref="A182:C182"/>
    <mergeCell ref="A183:C183"/>
    <mergeCell ref="A191:C191"/>
    <mergeCell ref="A192:C192"/>
    <mergeCell ref="A193:C193"/>
    <mergeCell ref="A194:C194"/>
    <mergeCell ref="A195:C195"/>
    <mergeCell ref="A185:A186"/>
    <mergeCell ref="B185:B186"/>
    <mergeCell ref="C185:C18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A36" sqref="A36"/>
    </sheetView>
  </sheetViews>
  <sheetFormatPr defaultColWidth="8.796875" defaultRowHeight="14.25"/>
  <cols>
    <col min="1" max="1" width="42" style="0" customWidth="1"/>
    <col min="2" max="2" width="18" style="371" customWidth="1"/>
    <col min="3" max="3" width="18" style="0" customWidth="1"/>
    <col min="4" max="4" width="16.59765625" style="0" customWidth="1"/>
    <col min="5" max="5" width="17.09765625" style="0" customWidth="1"/>
    <col min="6" max="6" width="16.8984375" style="0" customWidth="1"/>
  </cols>
  <sheetData>
    <row r="2" spans="1:6" ht="37.5">
      <c r="A2" s="368" t="s">
        <v>349</v>
      </c>
      <c r="B2" s="369" t="s">
        <v>30</v>
      </c>
      <c r="C2" s="370" t="s">
        <v>321</v>
      </c>
      <c r="D2" s="370" t="s">
        <v>322</v>
      </c>
      <c r="E2" s="368" t="s">
        <v>12</v>
      </c>
      <c r="F2" s="368" t="s">
        <v>323</v>
      </c>
    </row>
    <row r="3" spans="1:6" ht="15">
      <c r="A3" s="272" t="s">
        <v>350</v>
      </c>
      <c r="B3" s="372">
        <v>81000</v>
      </c>
      <c r="C3" s="367"/>
      <c r="D3" s="367"/>
      <c r="E3" s="367"/>
      <c r="F3" s="367"/>
    </row>
    <row r="4" spans="1:6" ht="30">
      <c r="A4" s="272" t="s">
        <v>351</v>
      </c>
      <c r="B4" s="372">
        <v>41000</v>
      </c>
      <c r="C4" s="367"/>
      <c r="D4" s="367"/>
      <c r="E4" s="367"/>
      <c r="F4" s="367"/>
    </row>
    <row r="5" spans="1:6" ht="30">
      <c r="A5" s="272" t="s">
        <v>352</v>
      </c>
      <c r="B5" s="372">
        <v>73000</v>
      </c>
      <c r="C5" s="367"/>
      <c r="D5" s="367"/>
      <c r="E5" s="367"/>
      <c r="F5" s="367"/>
    </row>
    <row r="6" spans="1:6" ht="60">
      <c r="A6" s="272" t="s">
        <v>353</v>
      </c>
      <c r="B6" s="372">
        <v>150000</v>
      </c>
      <c r="C6" s="367"/>
      <c r="D6" s="367"/>
      <c r="E6" s="367"/>
      <c r="F6" s="367"/>
    </row>
    <row r="7" spans="1:6" ht="15">
      <c r="A7" s="375" t="s">
        <v>354</v>
      </c>
      <c r="B7" s="376"/>
      <c r="C7" s="377"/>
      <c r="D7" s="377"/>
      <c r="E7" s="377"/>
      <c r="F7" s="377"/>
    </row>
    <row r="8" spans="1:8" ht="15">
      <c r="A8" s="373"/>
      <c r="B8" s="374"/>
      <c r="C8" s="215"/>
      <c r="D8" s="215"/>
      <c r="E8" s="215"/>
      <c r="F8" s="215"/>
      <c r="G8" s="215"/>
      <c r="H8" s="215"/>
    </row>
    <row r="9" spans="1:8" ht="15">
      <c r="A9" s="373"/>
      <c r="B9" s="374"/>
      <c r="C9" s="215"/>
      <c r="D9" s="215"/>
      <c r="E9" s="215"/>
      <c r="F9" s="215"/>
      <c r="G9" s="215"/>
      <c r="H9" s="215"/>
    </row>
    <row r="10" spans="1:8" ht="15">
      <c r="A10" s="373"/>
      <c r="B10" s="374"/>
      <c r="C10" s="215"/>
      <c r="D10" s="215"/>
      <c r="E10" s="215"/>
      <c r="F10" s="215"/>
      <c r="G10" s="215"/>
      <c r="H10" s="215"/>
    </row>
    <row r="11" spans="1:8" ht="15">
      <c r="A11" s="373"/>
      <c r="B11" s="374"/>
      <c r="C11" s="215"/>
      <c r="D11" s="215"/>
      <c r="E11" s="215"/>
      <c r="F11" s="215"/>
      <c r="G11" s="215"/>
      <c r="H11" s="215"/>
    </row>
    <row r="12" spans="1:8" ht="15">
      <c r="A12" s="373"/>
      <c r="B12" s="374"/>
      <c r="C12" s="215"/>
      <c r="D12" s="215"/>
      <c r="E12" s="215"/>
      <c r="F12" s="215"/>
      <c r="G12" s="215"/>
      <c r="H12" s="215"/>
    </row>
    <row r="13" spans="1:8" ht="15">
      <c r="A13" s="373"/>
      <c r="B13" s="374"/>
      <c r="C13" s="215"/>
      <c r="D13" s="215"/>
      <c r="E13" s="215"/>
      <c r="F13" s="215"/>
      <c r="G13" s="215"/>
      <c r="H13" s="215"/>
    </row>
    <row r="14" spans="1:8" ht="15">
      <c r="A14" s="373"/>
      <c r="B14" s="374"/>
      <c r="C14" s="215"/>
      <c r="D14" s="215"/>
      <c r="E14" s="215"/>
      <c r="F14" s="215"/>
      <c r="G14" s="215"/>
      <c r="H14" s="215"/>
    </row>
    <row r="15" spans="1:8" ht="15">
      <c r="A15" s="373"/>
      <c r="B15" s="374"/>
      <c r="C15" s="215"/>
      <c r="D15" s="215"/>
      <c r="E15" s="215"/>
      <c r="F15" s="215"/>
      <c r="G15" s="215"/>
      <c r="H15" s="215"/>
    </row>
    <row r="16" spans="1:8" ht="15">
      <c r="A16" s="373"/>
      <c r="B16" s="374"/>
      <c r="C16" s="215"/>
      <c r="D16" s="215"/>
      <c r="E16" s="215"/>
      <c r="F16" s="215"/>
      <c r="G16" s="215"/>
      <c r="H16" s="215"/>
    </row>
    <row r="17" spans="1:8" ht="14.25">
      <c r="A17" s="215"/>
      <c r="B17" s="374"/>
      <c r="C17" s="215"/>
      <c r="D17" s="215"/>
      <c r="E17" s="215"/>
      <c r="F17" s="215"/>
      <c r="G17" s="215"/>
      <c r="H17" s="215"/>
    </row>
    <row r="18" spans="1:8" ht="14.25">
      <c r="A18" s="215"/>
      <c r="B18" s="374"/>
      <c r="C18" s="215"/>
      <c r="D18" s="215"/>
      <c r="E18" s="215"/>
      <c r="F18" s="215"/>
      <c r="G18" s="215"/>
      <c r="H18" s="215"/>
    </row>
    <row r="19" spans="1:8" ht="14.25">
      <c r="A19" s="215"/>
      <c r="B19" s="374"/>
      <c r="C19" s="215"/>
      <c r="D19" s="215"/>
      <c r="E19" s="215"/>
      <c r="F19" s="215"/>
      <c r="G19" s="215"/>
      <c r="H19" s="215"/>
    </row>
    <row r="20" spans="1:8" ht="14.25">
      <c r="A20" s="215"/>
      <c r="B20" s="374"/>
      <c r="C20" s="215"/>
      <c r="D20" s="215"/>
      <c r="E20" s="215"/>
      <c r="F20" s="215"/>
      <c r="G20" s="215"/>
      <c r="H20" s="215"/>
    </row>
    <row r="21" spans="1:8" ht="14.25">
      <c r="A21" s="215"/>
      <c r="B21" s="374"/>
      <c r="C21" s="215"/>
      <c r="D21" s="215"/>
      <c r="E21" s="215"/>
      <c r="F21" s="215"/>
      <c r="G21" s="215"/>
      <c r="H21" s="215"/>
    </row>
    <row r="22" spans="1:8" ht="14.25">
      <c r="A22" s="215"/>
      <c r="B22" s="374"/>
      <c r="C22" s="215"/>
      <c r="D22" s="215"/>
      <c r="E22" s="215"/>
      <c r="F22" s="215"/>
      <c r="G22" s="215"/>
      <c r="H22" s="215"/>
    </row>
    <row r="23" spans="1:8" ht="14.25">
      <c r="A23" s="215"/>
      <c r="B23" s="374"/>
      <c r="C23" s="215"/>
      <c r="D23" s="215"/>
      <c r="E23" s="215"/>
      <c r="F23" s="215"/>
      <c r="G23" s="215"/>
      <c r="H23" s="215"/>
    </row>
  </sheetData>
  <sheetProtection/>
  <printOptions/>
  <pageMargins left="0.7" right="0.7" top="0.75" bottom="0.75" header="0.3" footer="0.3"/>
  <pageSetup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7"/>
  <sheetViews>
    <sheetView zoomScalePageLayoutView="0" workbookViewId="0" topLeftCell="A1">
      <selection activeCell="A5" sqref="A5"/>
    </sheetView>
  </sheetViews>
  <sheetFormatPr defaultColWidth="8.796875" defaultRowHeight="14.25"/>
  <cols>
    <col min="1" max="1" width="50.8984375" style="0" customWidth="1"/>
    <col min="2" max="2" width="15.8984375" style="0" customWidth="1"/>
    <col min="3" max="3" width="14.69921875" style="0" customWidth="1"/>
    <col min="4" max="4" width="16.19921875" style="0" customWidth="1"/>
    <col min="5" max="5" width="14.69921875" style="0" customWidth="1"/>
    <col min="6" max="6" width="18.59765625" style="0" customWidth="1"/>
  </cols>
  <sheetData>
    <row r="3" spans="1:6" ht="56.25">
      <c r="A3" s="368" t="s">
        <v>356</v>
      </c>
      <c r="B3" s="369" t="s">
        <v>30</v>
      </c>
      <c r="C3" s="370" t="s">
        <v>321</v>
      </c>
      <c r="D3" s="370" t="s">
        <v>322</v>
      </c>
      <c r="E3" s="368" t="s">
        <v>12</v>
      </c>
      <c r="F3" s="368" t="s">
        <v>323</v>
      </c>
    </row>
    <row r="4" spans="1:6" ht="52.5" customHeight="1">
      <c r="A4" s="380" t="s">
        <v>355</v>
      </c>
      <c r="B4" s="372">
        <v>500000</v>
      </c>
      <c r="C4" s="378">
        <v>171041.06</v>
      </c>
      <c r="D4" s="378">
        <v>328958.94</v>
      </c>
      <c r="E4" s="379" t="s">
        <v>35</v>
      </c>
      <c r="F4" s="367"/>
    </row>
    <row r="5" spans="1:6" ht="66.75" customHeight="1">
      <c r="A5" s="272"/>
      <c r="B5" s="372"/>
      <c r="C5" s="367"/>
      <c r="D5" s="367"/>
      <c r="E5" s="367"/>
      <c r="F5" s="367"/>
    </row>
    <row r="6" spans="1:6" ht="63.75" customHeight="1">
      <c r="A6" s="272"/>
      <c r="B6" s="372"/>
      <c r="C6" s="367"/>
      <c r="D6" s="367"/>
      <c r="E6" s="367"/>
      <c r="F6" s="367"/>
    </row>
    <row r="7" spans="1:6" ht="66" customHeight="1">
      <c r="A7" s="272"/>
      <c r="B7" s="372"/>
      <c r="C7" s="367"/>
      <c r="D7" s="367"/>
      <c r="E7" s="367"/>
      <c r="F7" s="36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kardasa</dc:creator>
  <cp:keywords/>
  <dc:description/>
  <cp:lastModifiedBy>dzielnica14</cp:lastModifiedBy>
  <cp:lastPrinted>2018-05-21T13:16:40Z</cp:lastPrinted>
  <dcterms:created xsi:type="dcterms:W3CDTF">2015-03-23T11:33:52Z</dcterms:created>
  <dcterms:modified xsi:type="dcterms:W3CDTF">2018-05-21T13:19:44Z</dcterms:modified>
  <cp:category/>
  <cp:version/>
  <cp:contentType/>
  <cp:contentStatus/>
</cp:coreProperties>
</file>